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86" activeTab="0"/>
  </bookViews>
  <sheets>
    <sheet name="PROGRAM ODRŽAVANJA KOMUNALNE IN" sheetId="1" r:id="rId1"/>
  </sheets>
  <definedNames>
    <definedName name="_xlnm.Print_Area" localSheetId="0">'PROGRAM ODRŽAVANJA KOMUNALNE IN'!$B$1:$S$131</definedName>
  </definedNames>
  <calcPr fullCalcOnLoad="1"/>
</workbook>
</file>

<file path=xl/sharedStrings.xml><?xml version="1.0" encoding="utf-8"?>
<sst xmlns="http://schemas.openxmlformats.org/spreadsheetml/2006/main" count="340" uniqueCount="163">
  <si>
    <t>I.</t>
  </si>
  <si>
    <t>ODRŽAVANJE I REKONSTRUKCIJA JAVNE RASVJETE, ENERGETSKA USLUGA I POTROŠNJA ENERGIJE</t>
  </si>
  <si>
    <t>Aktivnost</t>
  </si>
  <si>
    <t>Pozicija</t>
  </si>
  <si>
    <t>Šifra izvora financ.</t>
  </si>
  <si>
    <t xml:space="preserve">Opis radova </t>
  </si>
  <si>
    <t>Planirana sredstva</t>
  </si>
  <si>
    <t>A102704</t>
  </si>
  <si>
    <t>R352A</t>
  </si>
  <si>
    <t>KN</t>
  </si>
  <si>
    <t>Utrošena energija za javnu rasvjetu</t>
  </si>
  <si>
    <t>R353</t>
  </si>
  <si>
    <t>Održavanje javne rasvjete (tekuće i intervent.)</t>
  </si>
  <si>
    <t>Naknada za energetsku uslugu za projekt EJR</t>
  </si>
  <si>
    <t>UKUPNO</t>
  </si>
  <si>
    <t>II.</t>
  </si>
  <si>
    <t>ODRŽAVANJE I OBILJEŽAVANJE NASELJA</t>
  </si>
  <si>
    <t>A102701</t>
  </si>
  <si>
    <t>R337</t>
  </si>
  <si>
    <t>Obilježavanje naselja, ulica, cesta i ostala prometna signalizacija</t>
  </si>
  <si>
    <t>R340A</t>
  </si>
  <si>
    <t>Održavanje naselja</t>
  </si>
  <si>
    <t>A102702</t>
  </si>
  <si>
    <t>R346</t>
  </si>
  <si>
    <t>Deratizacija i dezinsekcija</t>
  </si>
  <si>
    <t>R347</t>
  </si>
  <si>
    <t>Troškovi higijeničarskog servisa</t>
  </si>
  <si>
    <t>III.</t>
  </si>
  <si>
    <t>ODRŽAVANJE ATMOSFERSKIH VODA</t>
  </si>
  <si>
    <t>R334</t>
  </si>
  <si>
    <t>Održavanje atmosferskih voda</t>
  </si>
  <si>
    <t>IV.</t>
  </si>
  <si>
    <t>ODRŽAVANJE ČISTOĆE JAVNIH POVRŠINA, ZBRINJAVANJE KRUPNOG OTPADA</t>
  </si>
  <si>
    <t>R335</t>
  </si>
  <si>
    <t>Održavanje čistoće javnih površina</t>
  </si>
  <si>
    <t>V.</t>
  </si>
  <si>
    <t>ODRŽAVANJE JAVNIH POVRŠINA, ČIŠĆENJE ZELENIH POVRŠINA I HORTIKULTURNO UREĐENJE, REGULACIJA PARKIRANJA</t>
  </si>
  <si>
    <t>R338</t>
  </si>
  <si>
    <t>Održavanje javnih površina</t>
  </si>
  <si>
    <t>Održavanje zelenih površina</t>
  </si>
  <si>
    <t>R442</t>
  </si>
  <si>
    <t>Troškovi reguliranja parkiranja u Starom gradu</t>
  </si>
  <si>
    <t>VI.</t>
  </si>
  <si>
    <t>ODRŽAVANJE GROBLJA I OBJEKATA ZA GROBLJE</t>
  </si>
  <si>
    <t>R336</t>
  </si>
  <si>
    <t>VII.</t>
  </si>
  <si>
    <t>ODRŽAVANJE, SANACIJA I REKONSTRUKCIJA NERAZVRSTANIH CESTA</t>
  </si>
  <si>
    <t>R342</t>
  </si>
  <si>
    <t>Održavanje nerazvrstanih cesta</t>
  </si>
  <si>
    <t>VIII.</t>
  </si>
  <si>
    <t>OSTALE USLUGE</t>
  </si>
  <si>
    <t>R350</t>
  </si>
  <si>
    <t>Troškovi izvršenja naloga komunalnog redara</t>
  </si>
  <si>
    <t>R348</t>
  </si>
  <si>
    <t>Geodetske i ostale intelektualne usluge</t>
  </si>
  <si>
    <t>PN</t>
  </si>
  <si>
    <t>IX.</t>
  </si>
  <si>
    <t>A102901</t>
  </si>
  <si>
    <t>R364</t>
  </si>
  <si>
    <t>R361</t>
  </si>
  <si>
    <t>Adaptacija i održavanje poslovnih prostora</t>
  </si>
  <si>
    <t>R362</t>
  </si>
  <si>
    <t>R363</t>
  </si>
  <si>
    <t>Sufinanciranje troškova fasade i krovova u zaštićenim starogradskim jezgrama</t>
  </si>
  <si>
    <t>A102902</t>
  </si>
  <si>
    <t>PI</t>
  </si>
  <si>
    <t>Adaptacija i održavanje stanova za posebne namjene</t>
  </si>
  <si>
    <t>A102903</t>
  </si>
  <si>
    <t>R366</t>
  </si>
  <si>
    <t>Materijalni troškovi za održavanje gradskih nekretnina</t>
  </si>
  <si>
    <t>SVEUKUPNO</t>
  </si>
  <si>
    <t>GRADSKO VIJEĆE GRADA BUZETA</t>
  </si>
  <si>
    <t xml:space="preserve">Članak 2. </t>
  </si>
  <si>
    <t xml:space="preserve">Košnja trave  </t>
  </si>
  <si>
    <t>Tekuće održavanje i sanacija</t>
  </si>
  <si>
    <t>Održavanje grobnih objekata i kapelica</t>
  </si>
  <si>
    <t>Dobava materijala i razastiranje</t>
  </si>
  <si>
    <t>Čišćenje raslinja uz cestu</t>
  </si>
  <si>
    <t>Čišćenje odvodnih kanala uz cestu</t>
  </si>
  <si>
    <t>Komunalna naknada</t>
  </si>
  <si>
    <t>KD</t>
  </si>
  <si>
    <t>Komunalni doprinos</t>
  </si>
  <si>
    <t>Prihodi od prodaje imovine</t>
  </si>
  <si>
    <t>Prihodi za posebne namjene</t>
  </si>
  <si>
    <t>OPP</t>
  </si>
  <si>
    <t>Opći prihodi i primici</t>
  </si>
  <si>
    <t>VP</t>
  </si>
  <si>
    <t>1.izmjene</t>
  </si>
  <si>
    <t xml:space="preserve">Održavanje groblja </t>
  </si>
  <si>
    <t>R922</t>
  </si>
  <si>
    <t>Troškovi održavanja besplatne bežične Internet zone na području Grada Buzeta</t>
  </si>
  <si>
    <t>2.izmjene</t>
  </si>
  <si>
    <t>PO</t>
  </si>
  <si>
    <t>Pomoći</t>
  </si>
  <si>
    <t>3.izmjene</t>
  </si>
  <si>
    <t>Troškovi zimske službe</t>
  </si>
  <si>
    <t>Zbrinjavanje otpada s javnih površina</t>
  </si>
  <si>
    <t>Ovaj Program održavanja objekata i uređaja komunalne infrastrukture stupa na snagu osmoga dana od dana objave u «Službenim novinama Grada Buzeta».</t>
  </si>
  <si>
    <t>Višak prihoda</t>
  </si>
  <si>
    <t>Članak 1.</t>
  </si>
  <si>
    <t>Izvori financiranja</t>
  </si>
  <si>
    <t>R342B</t>
  </si>
  <si>
    <t>Adaptacija i uređenje prostorija za mjesne odbore</t>
  </si>
  <si>
    <t>Čišćenje trgova i ulica, pješačkih zona, dječjih igrališta, javnih cesta, cesta koje prolaze kroz naselje, autobusnih čekaonica</t>
  </si>
  <si>
    <t>Davor Prodan</t>
  </si>
  <si>
    <t xml:space="preserve">       </t>
  </si>
  <si>
    <t xml:space="preserve">PREDSJEDNIK GRADSKOG VIJEĆA </t>
  </si>
  <si>
    <t>Legenda</t>
  </si>
  <si>
    <t>Održavanje i popravci građevina za odvodnju atmosferskih voda</t>
  </si>
  <si>
    <t>Ekološki monitoring</t>
  </si>
  <si>
    <t>Mjerenje pomaka klizišta Juradi</t>
  </si>
  <si>
    <t>Usluge pravnog zastupanja i savjetovanja</t>
  </si>
  <si>
    <t>Geodetske usluge</t>
  </si>
  <si>
    <t>Usluge sudskih vještaka i procjenitelja</t>
  </si>
  <si>
    <t>Konzultantske i ostale usluge</t>
  </si>
  <si>
    <t>ADAPTACIJA I UREĐENJE STANOVA, POSLOVNIH I PROSTORA MJ. ODBORA</t>
  </si>
  <si>
    <t>Tekuće i investicijsko održavanje poslovnih prostora</t>
  </si>
  <si>
    <t>Ulaganja u poslovne prostore (prijeboji izvršenih ulaganja)</t>
  </si>
  <si>
    <t>Održavanje zajedničkih uređaja i dijelova zgrada</t>
  </si>
  <si>
    <t>Ostali zahvati održavanja</t>
  </si>
  <si>
    <t>Uređenje prostorija mjesnog odbora u Sv. Donatu - kat</t>
  </si>
  <si>
    <t>Mali zahvati po Mjesnim odborima</t>
  </si>
  <si>
    <t>Održavanje dječjih igrališta</t>
  </si>
  <si>
    <t>Uklanjanje ruševnih objekata</t>
  </si>
  <si>
    <r>
      <t xml:space="preserve">Redovito čišćenje odvodnih kanala </t>
    </r>
    <r>
      <rPr>
        <sz val="10"/>
        <rFont val="Arial"/>
        <family val="2"/>
      </rPr>
      <t xml:space="preserve">i nanosa </t>
    </r>
  </si>
  <si>
    <r>
      <t>Redovito čišćenje i pražnjenje</t>
    </r>
    <r>
      <rPr>
        <sz val="10"/>
        <rFont val="Arial"/>
        <family val="2"/>
      </rPr>
      <t xml:space="preserve"> šahtova, slivnika i sl. </t>
    </r>
  </si>
  <si>
    <r>
      <t>Najam i održavanje kemijskih</t>
    </r>
    <r>
      <rPr>
        <sz val="10"/>
        <rFont val="Arial"/>
        <family val="2"/>
      </rPr>
      <t xml:space="preserve"> i javnih  WC-a</t>
    </r>
  </si>
  <si>
    <t>Prigodna dekoracija grada</t>
  </si>
  <si>
    <t xml:space="preserve">Redarstva na manifestacijama </t>
  </si>
  <si>
    <t>Montaže/demontaže pozornica, kućica i sl.</t>
  </si>
  <si>
    <t>Nabava i održavanje urbane opreme</t>
  </si>
  <si>
    <t>Utrošak el.energije i vode</t>
  </si>
  <si>
    <t>Održavanje i uređenje javnih zelenih površina grada</t>
  </si>
  <si>
    <t>Sakupljanje i zbrinjavanje otpada</t>
  </si>
  <si>
    <t>Signalizacija cesta</t>
  </si>
  <si>
    <t>Sanacija udarnih rupa i ostalo</t>
  </si>
  <si>
    <t>R677</t>
  </si>
  <si>
    <t>Planirana sredstva (EUR)</t>
  </si>
  <si>
    <t>PROGRAM ODRŽAVANJA OBJEKATA I UREĐAJA
KOMUNALNE INFRASTRUKTURE ZA 2023. GODINU</t>
  </si>
  <si>
    <t>Donosi se Program održavanja objekata i uređaja komunalne infrastrukture za 2023. godinu kako slijedi:</t>
  </si>
  <si>
    <t>Održavanje šumskih i poljskih puteva</t>
  </si>
  <si>
    <t>R1245</t>
  </si>
  <si>
    <t>R1248</t>
  </si>
  <si>
    <t>Usluga evidentiranja nerazvrstanih cesta</t>
  </si>
  <si>
    <t>Usluga izmjere za zaduženje komunalne naknade</t>
  </si>
  <si>
    <t>R1249</t>
  </si>
  <si>
    <t>R1250</t>
  </si>
  <si>
    <t>A102705</t>
  </si>
  <si>
    <t>Kamate za primljene kredite i zajmove (rekonstrukcija JR)</t>
  </si>
  <si>
    <t>Ukupno za 2023. godinu (EUR)</t>
  </si>
  <si>
    <t>R365A</t>
  </si>
  <si>
    <t>R365B</t>
  </si>
  <si>
    <t>Uređenja fasade u Velom mlunu - rodna kuća A. Vivode</t>
  </si>
  <si>
    <t>Uređenje čajne kuhinje doma u Krušvarima</t>
  </si>
  <si>
    <t>Uređenje doma u Marčenegli</t>
  </si>
  <si>
    <t>Uređenje okoliša Doma u Roču</t>
  </si>
  <si>
    <t>Nabava škurnica za Društveni dom u Sv. Duhu</t>
  </si>
  <si>
    <t>Planirana sredstva (Kn)</t>
  </si>
  <si>
    <t>Ukupno za 2023. godinu (Kn)</t>
  </si>
  <si>
    <t xml:space="preserve">Na temelju članka 72. stavka 1. Zakona o komunalnom gospodarstvu (NN 68/18, 110/18 i 32/20) i  članka 19. Statuta Grada Buzeta („Službene novine Grada Buzeta“, broj. 2/2021 i 10/2021), Gradsko vijeće Grada Buzeta na 17. sjednici održanoj 21. prosinca 2022. godine donosi </t>
  </si>
  <si>
    <t xml:space="preserve">Klasa: 024-03/22-01/17
 </t>
  </si>
  <si>
    <t>Ur.broj: 2163-3-01-01-22-24</t>
  </si>
  <si>
    <t xml:space="preserve">Buzet, 21.12. 2022.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</si>
</sst>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kn-41A];[Red]\-#,##0.00\ [$kn-41A]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  <numFmt numFmtId="172" formatCode="#,##0.00\ &quot;kn&quot;"/>
    <numFmt numFmtId="173" formatCode="&quot; &quot;#,##0.00&quot; &quot;;&quot;-&quot;#,##0.00&quot; &quot;;&quot; -&quot;#&quot; &quot;;&quot; &quot;@&quot; &quot;"/>
    <numFmt numFmtId="174" formatCode="#,##0.00\ [$€-1]"/>
  </numFmts>
  <fonts count="49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16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 horizontal="right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right" vertical="center" wrapText="1"/>
    </xf>
    <xf numFmtId="166" fontId="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8" fillId="34" borderId="11" xfId="0" applyNumberFormat="1" applyFont="1" applyFill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166" fontId="8" fillId="34" borderId="12" xfId="0" applyNumberFormat="1" applyFont="1" applyFill="1" applyBorder="1" applyAlignment="1">
      <alignment horizontal="right" vertical="center" wrapText="1"/>
    </xf>
    <xf numFmtId="166" fontId="8" fillId="34" borderId="13" xfId="0" applyNumberFormat="1" applyFont="1" applyFill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7" fillId="33" borderId="0" xfId="0" applyFont="1" applyFill="1" applyAlignment="1">
      <alignment wrapText="1"/>
    </xf>
    <xf numFmtId="166" fontId="8" fillId="0" borderId="1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8" fillId="0" borderId="14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top" wrapText="1"/>
    </xf>
    <xf numFmtId="166" fontId="8" fillId="35" borderId="10" xfId="0" applyNumberFormat="1" applyFont="1" applyFill="1" applyBorder="1" applyAlignment="1">
      <alignment horizontal="right" vertical="center" wrapText="1"/>
    </xf>
    <xf numFmtId="166" fontId="8" fillId="35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horizontal="right" vertical="top" wrapText="1"/>
    </xf>
    <xf numFmtId="174" fontId="0" fillId="0" borderId="0" xfId="0" applyNumberFormat="1" applyAlignment="1">
      <alignment horizontal="center" wrapText="1"/>
    </xf>
    <xf numFmtId="174" fontId="10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8" fillId="0" borderId="0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8" fillId="34" borderId="13" xfId="0" applyNumberFormat="1" applyFont="1" applyFill="1" applyBorder="1" applyAlignment="1">
      <alignment horizontal="right" vertical="center" wrapText="1"/>
    </xf>
    <xf numFmtId="174" fontId="8" fillId="0" borderId="0" xfId="0" applyNumberFormat="1" applyFont="1" applyAlignment="1">
      <alignment horizontal="right" vertical="center" wrapText="1"/>
    </xf>
    <xf numFmtId="174" fontId="0" fillId="0" borderId="0" xfId="0" applyNumberFormat="1" applyAlignment="1">
      <alignment horizontal="right" wrapText="1"/>
    </xf>
    <xf numFmtId="166" fontId="8" fillId="0" borderId="10" xfId="0" applyNumberFormat="1" applyFont="1" applyBorder="1" applyAlignment="1">
      <alignment horizontal="right" vertical="top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horizontal="right" vertical="top" wrapText="1"/>
    </xf>
    <xf numFmtId="174" fontId="0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74" fontId="0" fillId="0" borderId="10" xfId="0" applyNumberFormat="1" applyFill="1" applyBorder="1" applyAlignment="1">
      <alignment horizontal="right" vertical="center" wrapText="1"/>
    </xf>
    <xf numFmtId="174" fontId="8" fillId="0" borderId="14" xfId="0" applyNumberFormat="1" applyFont="1" applyFill="1" applyBorder="1" applyAlignment="1">
      <alignment horizontal="right" vertical="top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8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vertical="top" wrapText="1"/>
    </xf>
    <xf numFmtId="174" fontId="8" fillId="0" borderId="1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8" fillId="34" borderId="10" xfId="0" applyFont="1" applyFill="1" applyBorder="1" applyAlignment="1">
      <alignment vertical="center" wrapText="1"/>
    </xf>
    <xf numFmtId="174" fontId="0" fillId="0" borderId="0" xfId="0" applyNumberFormat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74" fontId="8" fillId="0" borderId="10" xfId="61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Alignment="1">
      <alignment horizontal="justify" vertical="top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9"/>
  <sheetViews>
    <sheetView tabSelected="1" zoomScale="115" zoomScaleNormal="115" zoomScaleSheetLayoutView="110" workbookViewId="0" topLeftCell="A121">
      <selection activeCell="D126" sqref="D126"/>
    </sheetView>
  </sheetViews>
  <sheetFormatPr defaultColWidth="11.57421875" defaultRowHeight="12.75"/>
  <cols>
    <col min="1" max="1" width="4.7109375" style="38" customWidth="1"/>
    <col min="2" max="2" width="7.421875" style="55" customWidth="1"/>
    <col min="3" max="3" width="6.8515625" style="55" customWidth="1"/>
    <col min="4" max="4" width="6.00390625" style="56" customWidth="1"/>
    <col min="5" max="5" width="5.140625" style="37" customWidth="1"/>
    <col min="6" max="6" width="27.28125" style="37" customWidth="1"/>
    <col min="7" max="7" width="19.28125" style="38" customWidth="1"/>
    <col min="8" max="8" width="17.140625" style="87" customWidth="1"/>
    <col min="9" max="9" width="13.7109375" style="87" hidden="1" customWidth="1"/>
    <col min="10" max="11" width="13.57421875" style="87" hidden="1" customWidth="1"/>
    <col min="12" max="12" width="15.7109375" style="87" customWidth="1"/>
    <col min="13" max="13" width="6.28125" style="54" customWidth="1"/>
    <col min="14" max="14" width="6.140625" style="38" customWidth="1"/>
    <col min="15" max="15" width="17.140625" style="57" hidden="1" customWidth="1"/>
    <col min="16" max="16" width="13.7109375" style="57" hidden="1" customWidth="1"/>
    <col min="17" max="18" width="13.57421875" style="57" hidden="1" customWidth="1"/>
    <col min="19" max="19" width="15.7109375" style="57" hidden="1" customWidth="1"/>
    <col min="20" max="20" width="11.57421875" style="38" customWidth="1"/>
    <col min="21" max="16384" width="11.57421875" style="38" customWidth="1"/>
  </cols>
  <sheetData>
    <row r="1" spans="2:19" ht="12.75">
      <c r="B1" s="7"/>
      <c r="C1" s="7"/>
      <c r="D1" s="7"/>
      <c r="E1" s="7"/>
      <c r="F1" s="7"/>
      <c r="G1" s="7"/>
      <c r="H1" s="74"/>
      <c r="I1" s="74"/>
      <c r="J1" s="74"/>
      <c r="K1" s="74"/>
      <c r="L1" s="74"/>
      <c r="O1" s="7"/>
      <c r="P1" s="7"/>
      <c r="Q1" s="7"/>
      <c r="R1" s="7"/>
      <c r="S1" s="7"/>
    </row>
    <row r="2" spans="2:15" s="65" customFormat="1" ht="45" customHeight="1">
      <c r="B2" s="156" t="s">
        <v>159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91"/>
      <c r="O2" s="66"/>
    </row>
    <row r="3" spans="2:19" ht="45" customHeight="1">
      <c r="B3" s="157" t="s">
        <v>138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25"/>
      <c r="O3" s="37"/>
      <c r="P3" s="38"/>
      <c r="Q3" s="38"/>
      <c r="R3" s="38"/>
      <c r="S3" s="38"/>
    </row>
    <row r="4" spans="2:19" ht="1.5" customHeight="1">
      <c r="B4" s="26"/>
      <c r="C4" s="26"/>
      <c r="D4" s="25"/>
      <c r="E4" s="25"/>
      <c r="F4" s="25"/>
      <c r="G4" s="25"/>
      <c r="H4" s="75"/>
      <c r="I4" s="75"/>
      <c r="J4" s="75"/>
      <c r="K4" s="75"/>
      <c r="L4" s="75"/>
      <c r="M4" s="25"/>
      <c r="O4" s="25"/>
      <c r="P4" s="25"/>
      <c r="Q4" s="25"/>
      <c r="R4" s="25"/>
      <c r="S4" s="25"/>
    </row>
    <row r="5" spans="2:19" ht="20.25">
      <c r="B5" s="141" t="s">
        <v>99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25"/>
      <c r="O5" s="37"/>
      <c r="P5" s="38"/>
      <c r="Q5" s="38"/>
      <c r="R5" s="38"/>
      <c r="S5" s="38"/>
    </row>
    <row r="6" spans="2:19" ht="12.75" customHeight="1">
      <c r="B6" s="158" t="s">
        <v>139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90"/>
      <c r="O6" s="37"/>
      <c r="P6" s="38"/>
      <c r="Q6" s="38"/>
      <c r="R6" s="38"/>
      <c r="S6" s="38"/>
    </row>
    <row r="8" spans="2:19" ht="15.75">
      <c r="B8" s="27"/>
      <c r="C8" s="27" t="s">
        <v>0</v>
      </c>
      <c r="D8" s="113" t="s">
        <v>1</v>
      </c>
      <c r="E8" s="113"/>
      <c r="F8" s="113"/>
      <c r="G8" s="113"/>
      <c r="H8" s="113"/>
      <c r="I8" s="76"/>
      <c r="J8" s="76"/>
      <c r="K8" s="76"/>
      <c r="L8" s="76"/>
      <c r="O8" s="37"/>
      <c r="P8" s="21"/>
      <c r="Q8" s="21"/>
      <c r="R8" s="21"/>
      <c r="S8" s="21"/>
    </row>
    <row r="9" spans="2:19" s="2" customFormat="1" ht="30" customHeight="1">
      <c r="B9" s="31" t="s">
        <v>2</v>
      </c>
      <c r="C9" s="31" t="s">
        <v>3</v>
      </c>
      <c r="D9" s="32" t="s">
        <v>4</v>
      </c>
      <c r="E9" s="133" t="s">
        <v>5</v>
      </c>
      <c r="F9" s="133"/>
      <c r="G9" s="133"/>
      <c r="H9" s="77" t="s">
        <v>137</v>
      </c>
      <c r="I9" s="77" t="s">
        <v>87</v>
      </c>
      <c r="J9" s="77" t="s">
        <v>91</v>
      </c>
      <c r="K9" s="77" t="s">
        <v>94</v>
      </c>
      <c r="L9" s="77" t="s">
        <v>149</v>
      </c>
      <c r="M9" s="1"/>
      <c r="O9" s="69" t="s">
        <v>157</v>
      </c>
      <c r="P9" s="69" t="s">
        <v>87</v>
      </c>
      <c r="Q9" s="69" t="s">
        <v>91</v>
      </c>
      <c r="R9" s="69" t="s">
        <v>94</v>
      </c>
      <c r="S9" s="69" t="s">
        <v>158</v>
      </c>
    </row>
    <row r="10" spans="2:19" s="15" customFormat="1" ht="12.75">
      <c r="B10" s="22"/>
      <c r="C10" s="134"/>
      <c r="D10" s="134"/>
      <c r="E10" s="134"/>
      <c r="F10" s="134"/>
      <c r="G10" s="134"/>
      <c r="H10" s="134"/>
      <c r="I10" s="78"/>
      <c r="J10" s="78"/>
      <c r="K10" s="78"/>
      <c r="L10" s="78"/>
      <c r="M10" s="14"/>
      <c r="N10" s="38"/>
      <c r="O10" s="38"/>
      <c r="P10" s="4"/>
      <c r="Q10" s="4"/>
      <c r="R10" s="4"/>
      <c r="S10" s="4"/>
    </row>
    <row r="11" spans="2:19" s="15" customFormat="1" ht="12.75">
      <c r="B11" s="92" t="s">
        <v>7</v>
      </c>
      <c r="C11" s="93" t="s">
        <v>8</v>
      </c>
      <c r="D11" s="33" t="s">
        <v>9</v>
      </c>
      <c r="E11" s="124" t="s">
        <v>10</v>
      </c>
      <c r="F11" s="124"/>
      <c r="G11" s="124"/>
      <c r="H11" s="94">
        <f>399999.07/7.5345</f>
        <v>53088.999933638595</v>
      </c>
      <c r="I11" s="94">
        <v>0</v>
      </c>
      <c r="J11" s="94">
        <v>0</v>
      </c>
      <c r="K11" s="94"/>
      <c r="L11" s="94">
        <f>H11</f>
        <v>53088.999933638595</v>
      </c>
      <c r="M11" s="14"/>
      <c r="N11" s="38"/>
      <c r="O11" s="20">
        <f>H11*7.5345</f>
        <v>399999.07</v>
      </c>
      <c r="P11" s="20">
        <v>0</v>
      </c>
      <c r="Q11" s="20">
        <v>0</v>
      </c>
      <c r="R11" s="20"/>
      <c r="S11" s="20">
        <f>O11</f>
        <v>399999.07</v>
      </c>
    </row>
    <row r="12" spans="2:19" s="15" customFormat="1" ht="12.75">
      <c r="B12" s="92" t="s">
        <v>7</v>
      </c>
      <c r="C12" s="93" t="s">
        <v>11</v>
      </c>
      <c r="D12" s="33" t="s">
        <v>9</v>
      </c>
      <c r="E12" s="124" t="s">
        <v>12</v>
      </c>
      <c r="F12" s="124"/>
      <c r="G12" s="124"/>
      <c r="H12" s="94">
        <v>16458</v>
      </c>
      <c r="I12" s="94">
        <v>0</v>
      </c>
      <c r="J12" s="94">
        <v>0</v>
      </c>
      <c r="K12" s="94"/>
      <c r="L12" s="94">
        <f>H12</f>
        <v>16458</v>
      </c>
      <c r="M12" s="14"/>
      <c r="N12" s="38"/>
      <c r="O12" s="20">
        <f>H12*7.5345</f>
        <v>124002.801</v>
      </c>
      <c r="P12" s="20">
        <v>0</v>
      </c>
      <c r="Q12" s="20">
        <v>0</v>
      </c>
      <c r="R12" s="20"/>
      <c r="S12" s="20">
        <f>O12</f>
        <v>124002.801</v>
      </c>
    </row>
    <row r="13" spans="2:19" s="15" customFormat="1" ht="12.75">
      <c r="B13" s="92" t="s">
        <v>7</v>
      </c>
      <c r="C13" s="93" t="s">
        <v>136</v>
      </c>
      <c r="D13" s="33" t="s">
        <v>9</v>
      </c>
      <c r="E13" s="124" t="s">
        <v>13</v>
      </c>
      <c r="F13" s="124"/>
      <c r="G13" s="124"/>
      <c r="H13" s="94">
        <v>20307</v>
      </c>
      <c r="I13" s="94"/>
      <c r="J13" s="94"/>
      <c r="K13" s="94"/>
      <c r="L13" s="95">
        <f>H13</f>
        <v>20307</v>
      </c>
      <c r="M13" s="14"/>
      <c r="N13" s="38"/>
      <c r="O13" s="20">
        <f>H13*7.5345</f>
        <v>153003.0915</v>
      </c>
      <c r="P13" s="20"/>
      <c r="Q13" s="20"/>
      <c r="R13" s="20"/>
      <c r="S13" s="88">
        <f>O13</f>
        <v>153003.0915</v>
      </c>
    </row>
    <row r="14" spans="2:19" s="15" customFormat="1" ht="13.5" customHeight="1">
      <c r="B14" s="92" t="s">
        <v>147</v>
      </c>
      <c r="C14" s="93" t="s">
        <v>146</v>
      </c>
      <c r="D14" s="33" t="s">
        <v>9</v>
      </c>
      <c r="E14" s="124" t="s">
        <v>148</v>
      </c>
      <c r="F14" s="124"/>
      <c r="G14" s="124"/>
      <c r="H14" s="95">
        <v>1513</v>
      </c>
      <c r="I14" s="95">
        <v>0</v>
      </c>
      <c r="J14" s="95">
        <v>0</v>
      </c>
      <c r="K14" s="95"/>
      <c r="L14" s="108">
        <f>H14</f>
        <v>1513</v>
      </c>
      <c r="M14" s="14"/>
      <c r="N14" s="38"/>
      <c r="O14" s="88">
        <f>H14*7.5345</f>
        <v>11399.6985</v>
      </c>
      <c r="P14" s="88">
        <v>0</v>
      </c>
      <c r="Q14" s="88">
        <v>0</v>
      </c>
      <c r="R14" s="88"/>
      <c r="S14" s="88">
        <f>O14</f>
        <v>11399.6985</v>
      </c>
    </row>
    <row r="15" spans="2:19" s="15" customFormat="1" ht="12.75">
      <c r="B15" s="23"/>
      <c r="C15" s="28"/>
      <c r="D15" s="24"/>
      <c r="E15" s="135" t="s">
        <v>14</v>
      </c>
      <c r="F15" s="135"/>
      <c r="G15" s="135"/>
      <c r="H15" s="79">
        <f>SUM(H11:H14)</f>
        <v>91366.9999336386</v>
      </c>
      <c r="I15" s="79">
        <f>SUM(I11:I14)</f>
        <v>0</v>
      </c>
      <c r="J15" s="79">
        <f>SUM(J11:J14)</f>
        <v>0</v>
      </c>
      <c r="K15" s="79">
        <f>SUM(K11:K14)</f>
        <v>0</v>
      </c>
      <c r="L15" s="79">
        <f>SUM(L11:L14)</f>
        <v>91366.9999336386</v>
      </c>
      <c r="M15" s="14"/>
      <c r="O15" s="30">
        <f>SUM(O11:O14)</f>
        <v>688404.6610000001</v>
      </c>
      <c r="P15" s="30">
        <f>SUM(P11:P14)</f>
        <v>0</v>
      </c>
      <c r="Q15" s="30">
        <f>SUM(Q11:Q14)</f>
        <v>0</v>
      </c>
      <c r="R15" s="30">
        <f>SUM(R11:R14)</f>
        <v>0</v>
      </c>
      <c r="S15" s="30">
        <f>H15*7.5345</f>
        <v>688404.6610000001</v>
      </c>
    </row>
    <row r="16" spans="2:19" s="15" customFormat="1" ht="15.75">
      <c r="B16" s="22"/>
      <c r="C16" s="27" t="s">
        <v>15</v>
      </c>
      <c r="D16" s="125" t="s">
        <v>16</v>
      </c>
      <c r="E16" s="125"/>
      <c r="F16" s="125"/>
      <c r="G16" s="125"/>
      <c r="H16" s="125"/>
      <c r="I16" s="80"/>
      <c r="J16" s="80"/>
      <c r="K16" s="80"/>
      <c r="L16" s="80"/>
      <c r="M16" s="14"/>
      <c r="O16" s="5"/>
      <c r="P16" s="11"/>
      <c r="Q16" s="11"/>
      <c r="R16" s="11"/>
      <c r="S16" s="11"/>
    </row>
    <row r="17" spans="2:19" s="15" customFormat="1" ht="30" customHeight="1">
      <c r="B17" s="31" t="s">
        <v>2</v>
      </c>
      <c r="C17" s="31" t="s">
        <v>3</v>
      </c>
      <c r="D17" s="32" t="s">
        <v>4</v>
      </c>
      <c r="E17" s="133" t="s">
        <v>5</v>
      </c>
      <c r="F17" s="133"/>
      <c r="G17" s="133"/>
      <c r="H17" s="77" t="s">
        <v>137</v>
      </c>
      <c r="I17" s="77" t="s">
        <v>87</v>
      </c>
      <c r="J17" s="77" t="s">
        <v>91</v>
      </c>
      <c r="K17" s="77" t="s">
        <v>94</v>
      </c>
      <c r="L17" s="77" t="s">
        <v>149</v>
      </c>
      <c r="M17" s="14"/>
      <c r="O17" s="69" t="s">
        <v>6</v>
      </c>
      <c r="P17" s="69" t="s">
        <v>87</v>
      </c>
      <c r="Q17" s="69" t="s">
        <v>91</v>
      </c>
      <c r="R17" s="69" t="s">
        <v>94</v>
      </c>
      <c r="S17" s="77" t="s">
        <v>149</v>
      </c>
    </row>
    <row r="18" spans="2:19" s="15" customFormat="1" ht="12.75">
      <c r="B18" s="22"/>
      <c r="C18" s="134"/>
      <c r="D18" s="134"/>
      <c r="E18" s="134"/>
      <c r="F18" s="134"/>
      <c r="G18" s="134"/>
      <c r="H18" s="134"/>
      <c r="I18" s="78"/>
      <c r="J18" s="78"/>
      <c r="K18" s="78"/>
      <c r="L18" s="78"/>
      <c r="M18" s="14"/>
      <c r="O18" s="5"/>
      <c r="P18" s="4"/>
      <c r="Q18" s="4"/>
      <c r="R18" s="4"/>
      <c r="S18" s="4"/>
    </row>
    <row r="19" spans="2:19" s="15" customFormat="1" ht="24.75" customHeight="1">
      <c r="B19" s="92" t="s">
        <v>17</v>
      </c>
      <c r="C19" s="93" t="s">
        <v>18</v>
      </c>
      <c r="D19" s="33" t="s">
        <v>9</v>
      </c>
      <c r="E19" s="124" t="s">
        <v>19</v>
      </c>
      <c r="F19" s="124"/>
      <c r="G19" s="124"/>
      <c r="H19" s="94">
        <f>7963</f>
        <v>7963</v>
      </c>
      <c r="I19" s="94">
        <v>0</v>
      </c>
      <c r="J19" s="94">
        <v>0</v>
      </c>
      <c r="K19" s="94">
        <v>0</v>
      </c>
      <c r="L19" s="94">
        <f>H19+I19+J19+K19</f>
        <v>7963</v>
      </c>
      <c r="M19" s="14"/>
      <c r="O19" s="20">
        <f aca="true" t="shared" si="0" ref="O19:O27">H19*7.5345</f>
        <v>59997.2235</v>
      </c>
      <c r="P19" s="29">
        <v>0</v>
      </c>
      <c r="Q19" s="20">
        <v>0</v>
      </c>
      <c r="R19" s="20">
        <v>0</v>
      </c>
      <c r="S19" s="20">
        <f>O19+P19+Q19+R19</f>
        <v>59997.2235</v>
      </c>
    </row>
    <row r="20" spans="2:19" s="15" customFormat="1" ht="12.75">
      <c r="B20" s="92" t="s">
        <v>17</v>
      </c>
      <c r="C20" s="93" t="s">
        <v>20</v>
      </c>
      <c r="D20" s="33" t="s">
        <v>9</v>
      </c>
      <c r="E20" s="124" t="s">
        <v>21</v>
      </c>
      <c r="F20" s="124"/>
      <c r="G20" s="124"/>
      <c r="H20" s="94">
        <v>35835</v>
      </c>
      <c r="I20" s="94">
        <v>0</v>
      </c>
      <c r="J20" s="94">
        <f>SUM(J24:J24)</f>
        <v>0</v>
      </c>
      <c r="K20" s="94">
        <f>SUM(K24:K24)</f>
        <v>0</v>
      </c>
      <c r="L20" s="94">
        <f>H20+I20+J20</f>
        <v>35835</v>
      </c>
      <c r="M20" s="14"/>
      <c r="O20" s="29">
        <f t="shared" si="0"/>
        <v>269998.8075</v>
      </c>
      <c r="P20" s="29">
        <v>0</v>
      </c>
      <c r="Q20" s="20">
        <f>SUM(Q24:Q24)</f>
        <v>0</v>
      </c>
      <c r="R20" s="20">
        <f>SUM(R24:R24)</f>
        <v>0</v>
      </c>
      <c r="S20" s="20">
        <f>O20+P20+Q20</f>
        <v>269998.8075</v>
      </c>
    </row>
    <row r="21" spans="2:19" s="15" customFormat="1" ht="12.75">
      <c r="B21" s="45"/>
      <c r="C21" s="39"/>
      <c r="D21" s="40"/>
      <c r="E21" s="41"/>
      <c r="F21" s="114" t="s">
        <v>121</v>
      </c>
      <c r="G21" s="115"/>
      <c r="H21" s="96">
        <f>18250</f>
        <v>18250</v>
      </c>
      <c r="I21" s="94"/>
      <c r="J21" s="94"/>
      <c r="K21" s="94"/>
      <c r="L21" s="96">
        <f aca="true" t="shared" si="1" ref="L21:L26">H21</f>
        <v>18250</v>
      </c>
      <c r="M21" s="14"/>
      <c r="O21" s="49">
        <f t="shared" si="0"/>
        <v>137504.625</v>
      </c>
      <c r="P21" s="29"/>
      <c r="Q21" s="20"/>
      <c r="R21" s="20"/>
      <c r="S21" s="48">
        <f aca="true" t="shared" si="2" ref="S21:S26">O21</f>
        <v>137504.625</v>
      </c>
    </row>
    <row r="22" spans="2:19" s="15" customFormat="1" ht="12.75">
      <c r="B22" s="45"/>
      <c r="C22" s="39"/>
      <c r="D22" s="40"/>
      <c r="E22" s="41"/>
      <c r="F22" s="114" t="s">
        <v>122</v>
      </c>
      <c r="G22" s="115"/>
      <c r="H22" s="96">
        <v>6000</v>
      </c>
      <c r="I22" s="94"/>
      <c r="J22" s="94"/>
      <c r="K22" s="94"/>
      <c r="L22" s="96">
        <f t="shared" si="1"/>
        <v>6000</v>
      </c>
      <c r="M22" s="14"/>
      <c r="O22" s="48">
        <f t="shared" si="0"/>
        <v>45207</v>
      </c>
      <c r="P22" s="29"/>
      <c r="Q22" s="20"/>
      <c r="R22" s="20"/>
      <c r="S22" s="48">
        <f t="shared" si="2"/>
        <v>45207</v>
      </c>
    </row>
    <row r="23" spans="2:19" s="15" customFormat="1" ht="12.75">
      <c r="B23" s="45"/>
      <c r="C23" s="39"/>
      <c r="D23" s="40"/>
      <c r="E23" s="41"/>
      <c r="F23" s="114" t="s">
        <v>123</v>
      </c>
      <c r="G23" s="115"/>
      <c r="H23" s="96">
        <v>9000</v>
      </c>
      <c r="I23" s="94"/>
      <c r="J23" s="94"/>
      <c r="K23" s="94"/>
      <c r="L23" s="96">
        <f t="shared" si="1"/>
        <v>9000</v>
      </c>
      <c r="M23" s="14"/>
      <c r="O23" s="49">
        <f t="shared" si="0"/>
        <v>67810.5</v>
      </c>
      <c r="P23" s="29"/>
      <c r="Q23" s="20"/>
      <c r="R23" s="20"/>
      <c r="S23" s="48">
        <f t="shared" si="2"/>
        <v>67810.5</v>
      </c>
    </row>
    <row r="24" spans="2:19" s="15" customFormat="1" ht="12.75">
      <c r="B24" s="34"/>
      <c r="C24" s="35"/>
      <c r="D24" s="36"/>
      <c r="E24" s="97"/>
      <c r="F24" s="140" t="s">
        <v>119</v>
      </c>
      <c r="G24" s="140"/>
      <c r="H24" s="96">
        <f>H20-H21-H22-H23</f>
        <v>2585</v>
      </c>
      <c r="I24" s="98">
        <v>0</v>
      </c>
      <c r="J24" s="98">
        <v>0</v>
      </c>
      <c r="K24" s="98">
        <v>0</v>
      </c>
      <c r="L24" s="96">
        <f t="shared" si="1"/>
        <v>2585</v>
      </c>
      <c r="M24" s="14"/>
      <c r="O24" s="49">
        <f t="shared" si="0"/>
        <v>19476.682500000003</v>
      </c>
      <c r="P24" s="47">
        <v>0</v>
      </c>
      <c r="Q24" s="47">
        <v>0</v>
      </c>
      <c r="R24" s="47">
        <v>0</v>
      </c>
      <c r="S24" s="48">
        <f t="shared" si="2"/>
        <v>19476.682500000003</v>
      </c>
    </row>
    <row r="25" spans="2:19" s="15" customFormat="1" ht="12.75">
      <c r="B25" s="92" t="s">
        <v>22</v>
      </c>
      <c r="C25" s="93" t="s">
        <v>23</v>
      </c>
      <c r="D25" s="33" t="s">
        <v>9</v>
      </c>
      <c r="E25" s="124" t="s">
        <v>24</v>
      </c>
      <c r="F25" s="124"/>
      <c r="G25" s="124"/>
      <c r="H25" s="94">
        <v>2920</v>
      </c>
      <c r="I25" s="94">
        <v>0</v>
      </c>
      <c r="J25" s="94">
        <v>0</v>
      </c>
      <c r="K25" s="94">
        <v>0</v>
      </c>
      <c r="L25" s="94">
        <f t="shared" si="1"/>
        <v>2920</v>
      </c>
      <c r="M25" s="16"/>
      <c r="N25" s="38"/>
      <c r="O25" s="20">
        <f t="shared" si="0"/>
        <v>22000.74</v>
      </c>
      <c r="P25" s="29">
        <v>0</v>
      </c>
      <c r="Q25" s="29">
        <v>0</v>
      </c>
      <c r="R25" s="29">
        <v>0</v>
      </c>
      <c r="S25" s="29">
        <f t="shared" si="2"/>
        <v>22000.74</v>
      </c>
    </row>
    <row r="26" spans="2:19" s="15" customFormat="1" ht="12.75">
      <c r="B26" s="92" t="s">
        <v>22</v>
      </c>
      <c r="C26" s="93" t="s">
        <v>25</v>
      </c>
      <c r="D26" s="33" t="s">
        <v>9</v>
      </c>
      <c r="E26" s="124" t="s">
        <v>26</v>
      </c>
      <c r="F26" s="124"/>
      <c r="G26" s="124"/>
      <c r="H26" s="94">
        <v>11281</v>
      </c>
      <c r="I26" s="94">
        <v>0</v>
      </c>
      <c r="J26" s="94">
        <v>0</v>
      </c>
      <c r="K26" s="94">
        <v>0</v>
      </c>
      <c r="L26" s="94">
        <f t="shared" si="1"/>
        <v>11281</v>
      </c>
      <c r="M26" s="14"/>
      <c r="O26" s="29">
        <f t="shared" si="0"/>
        <v>84996.6945</v>
      </c>
      <c r="P26" s="29">
        <v>0</v>
      </c>
      <c r="Q26" s="29">
        <v>0</v>
      </c>
      <c r="R26" s="29">
        <v>0</v>
      </c>
      <c r="S26" s="29">
        <f t="shared" si="2"/>
        <v>84996.6945</v>
      </c>
    </row>
    <row r="27" spans="2:19" s="15" customFormat="1" ht="12.75">
      <c r="B27" s="23"/>
      <c r="C27" s="28"/>
      <c r="D27" s="24"/>
      <c r="E27" s="135" t="s">
        <v>14</v>
      </c>
      <c r="F27" s="135"/>
      <c r="G27" s="135"/>
      <c r="H27" s="79">
        <f>H19+H20+H25+H26</f>
        <v>57999</v>
      </c>
      <c r="I27" s="79" t="e">
        <f>I19+#REF!+I20+I25+I26+#REF!+#REF!+#REF!+#REF!+#REF!</f>
        <v>#REF!</v>
      </c>
      <c r="J27" s="79" t="e">
        <f>J19+#REF!+J20+J25+J26+#REF!+#REF!+#REF!+#REF!+#REF!</f>
        <v>#REF!</v>
      </c>
      <c r="K27" s="79" t="e">
        <f>K19+#REF!+K20+K25+K26+#REF!+#REF!+#REF!+#REF!+#REF!</f>
        <v>#REF!</v>
      </c>
      <c r="L27" s="79">
        <f>L19+L20+L25+L26</f>
        <v>57999</v>
      </c>
      <c r="M27" s="14"/>
      <c r="O27" s="71">
        <f t="shared" si="0"/>
        <v>436993.46550000005</v>
      </c>
      <c r="P27" s="30" t="e">
        <f>P19+#REF!+P20+P25+P26+#REF!+#REF!+#REF!+#REF!+#REF!</f>
        <v>#REF!</v>
      </c>
      <c r="Q27" s="30" t="e">
        <f>Q19+#REF!+Q20+Q25+Q26+#REF!+#REF!+#REF!+#REF!+#REF!</f>
        <v>#REF!</v>
      </c>
      <c r="R27" s="30" t="e">
        <f>R19+#REF!+R20+R25+R26+#REF!+#REF!+#REF!+#REF!+#REF!</f>
        <v>#REF!</v>
      </c>
      <c r="S27" s="30">
        <f>S19+S20+S25+S26</f>
        <v>436993.4655</v>
      </c>
    </row>
    <row r="28" spans="2:19" s="15" customFormat="1" ht="15.75">
      <c r="B28" s="22"/>
      <c r="C28" s="27" t="s">
        <v>27</v>
      </c>
      <c r="D28" s="125" t="s">
        <v>28</v>
      </c>
      <c r="E28" s="125"/>
      <c r="F28" s="125"/>
      <c r="G28" s="125"/>
      <c r="H28" s="125"/>
      <c r="I28" s="80"/>
      <c r="J28" s="80"/>
      <c r="K28" s="80"/>
      <c r="L28" s="80"/>
      <c r="M28" s="14"/>
      <c r="O28" s="5"/>
      <c r="P28" s="11"/>
      <c r="Q28" s="11"/>
      <c r="R28" s="11"/>
      <c r="S28" s="11"/>
    </row>
    <row r="29" spans="2:19" s="15" customFormat="1" ht="30" customHeight="1">
      <c r="B29" s="31" t="s">
        <v>2</v>
      </c>
      <c r="C29" s="31" t="s">
        <v>3</v>
      </c>
      <c r="D29" s="32" t="s">
        <v>4</v>
      </c>
      <c r="E29" s="133" t="s">
        <v>5</v>
      </c>
      <c r="F29" s="133"/>
      <c r="G29" s="133"/>
      <c r="H29" s="77" t="s">
        <v>137</v>
      </c>
      <c r="I29" s="77" t="s">
        <v>87</v>
      </c>
      <c r="J29" s="77" t="s">
        <v>91</v>
      </c>
      <c r="K29" s="77" t="s">
        <v>94</v>
      </c>
      <c r="L29" s="77" t="s">
        <v>149</v>
      </c>
      <c r="M29" s="14"/>
      <c r="O29" s="69" t="s">
        <v>6</v>
      </c>
      <c r="P29" s="69" t="s">
        <v>87</v>
      </c>
      <c r="Q29" s="69" t="s">
        <v>91</v>
      </c>
      <c r="R29" s="69" t="s">
        <v>94</v>
      </c>
      <c r="S29" s="77" t="s">
        <v>149</v>
      </c>
    </row>
    <row r="30" spans="2:19" s="15" customFormat="1" ht="12.75">
      <c r="B30" s="92" t="s">
        <v>17</v>
      </c>
      <c r="C30" s="93" t="s">
        <v>29</v>
      </c>
      <c r="D30" s="33" t="s">
        <v>9</v>
      </c>
      <c r="E30" s="124" t="s">
        <v>30</v>
      </c>
      <c r="F30" s="124"/>
      <c r="G30" s="124"/>
      <c r="H30" s="94">
        <f>O30/7.5345</f>
        <v>23222.018713915983</v>
      </c>
      <c r="I30" s="94">
        <v>0</v>
      </c>
      <c r="J30" s="94">
        <v>0</v>
      </c>
      <c r="K30" s="94"/>
      <c r="L30" s="99">
        <f>H30</f>
        <v>23222.018713915983</v>
      </c>
      <c r="M30" s="44"/>
      <c r="N30" s="63"/>
      <c r="O30" s="29">
        <f>174966.3</f>
        <v>174966.3</v>
      </c>
      <c r="P30" s="29">
        <v>0</v>
      </c>
      <c r="Q30" s="29">
        <v>0</v>
      </c>
      <c r="R30" s="29"/>
      <c r="S30" s="70">
        <f>O30</f>
        <v>174966.3</v>
      </c>
    </row>
    <row r="31" spans="2:19" s="15" customFormat="1" ht="12.75" customHeight="1">
      <c r="B31" s="45"/>
      <c r="C31" s="39"/>
      <c r="D31" s="40"/>
      <c r="E31" s="41"/>
      <c r="F31" s="114" t="s">
        <v>108</v>
      </c>
      <c r="G31" s="115"/>
      <c r="H31" s="96">
        <v>3500</v>
      </c>
      <c r="I31" s="94"/>
      <c r="J31" s="94"/>
      <c r="K31" s="94"/>
      <c r="L31" s="96">
        <f>H31</f>
        <v>3500</v>
      </c>
      <c r="M31" s="14"/>
      <c r="O31" s="49">
        <f>H31*7.5345</f>
        <v>26370.75</v>
      </c>
      <c r="P31" s="29"/>
      <c r="Q31" s="29"/>
      <c r="R31" s="29"/>
      <c r="S31" s="49">
        <f>O31</f>
        <v>26370.75</v>
      </c>
    </row>
    <row r="32" spans="2:19" s="15" customFormat="1" ht="12.75" customHeight="1">
      <c r="B32" s="34"/>
      <c r="C32" s="35"/>
      <c r="D32" s="36"/>
      <c r="E32" s="97"/>
      <c r="F32" s="151" t="s">
        <v>124</v>
      </c>
      <c r="G32" s="151"/>
      <c r="H32" s="96">
        <v>10000</v>
      </c>
      <c r="I32" s="94"/>
      <c r="J32" s="94"/>
      <c r="K32" s="94"/>
      <c r="L32" s="96">
        <f>H32</f>
        <v>10000</v>
      </c>
      <c r="M32" s="14"/>
      <c r="O32" s="49">
        <f>H32*7.5345</f>
        <v>75345</v>
      </c>
      <c r="P32" s="29"/>
      <c r="Q32" s="29"/>
      <c r="R32" s="29"/>
      <c r="S32" s="49">
        <f>O32</f>
        <v>75345</v>
      </c>
    </row>
    <row r="33" spans="2:19" s="15" customFormat="1" ht="12.75" customHeight="1">
      <c r="B33" s="34"/>
      <c r="C33" s="35"/>
      <c r="D33" s="36"/>
      <c r="E33" s="97"/>
      <c r="F33" s="155" t="s">
        <v>125</v>
      </c>
      <c r="G33" s="155"/>
      <c r="H33" s="100">
        <f>H30-H31-H32</f>
        <v>9722.018713915983</v>
      </c>
      <c r="I33" s="101"/>
      <c r="J33" s="101"/>
      <c r="K33" s="101"/>
      <c r="L33" s="100">
        <f>H33</f>
        <v>9722.018713915983</v>
      </c>
      <c r="M33" s="14"/>
      <c r="O33" s="49">
        <f>H33*7.5345</f>
        <v>73250.54999999997</v>
      </c>
      <c r="P33" s="67"/>
      <c r="Q33" s="67"/>
      <c r="R33" s="67"/>
      <c r="S33" s="62">
        <f>O33</f>
        <v>73250.54999999997</v>
      </c>
    </row>
    <row r="34" spans="2:19" s="15" customFormat="1" ht="12.75">
      <c r="B34" s="23"/>
      <c r="C34" s="28"/>
      <c r="D34" s="24"/>
      <c r="E34" s="117" t="s">
        <v>14</v>
      </c>
      <c r="F34" s="117"/>
      <c r="G34" s="117"/>
      <c r="H34" s="79">
        <f>H30</f>
        <v>23222.018713915983</v>
      </c>
      <c r="I34" s="79" t="e">
        <f>#REF!+#REF!</f>
        <v>#REF!</v>
      </c>
      <c r="J34" s="79" t="e">
        <f>#REF!+#REF!</f>
        <v>#REF!</v>
      </c>
      <c r="K34" s="79" t="e">
        <f>#REF!+#REF!</f>
        <v>#REF!</v>
      </c>
      <c r="L34" s="79">
        <f>L30</f>
        <v>23222.018713915983</v>
      </c>
      <c r="M34" s="14"/>
      <c r="O34" s="71">
        <f>H34*7.5345</f>
        <v>174966.3</v>
      </c>
      <c r="P34" s="30" t="e">
        <f>#REF!+#REF!</f>
        <v>#REF!</v>
      </c>
      <c r="Q34" s="30" t="e">
        <f>#REF!+#REF!</f>
        <v>#REF!</v>
      </c>
      <c r="R34" s="30" t="e">
        <f>#REF!+#REF!</f>
        <v>#REF!</v>
      </c>
      <c r="S34" s="30">
        <f>S30</f>
        <v>174966.3</v>
      </c>
    </row>
    <row r="35" spans="2:19" s="15" customFormat="1" ht="15.75">
      <c r="B35" s="22"/>
      <c r="C35" s="27" t="s">
        <v>31</v>
      </c>
      <c r="D35" s="125" t="s">
        <v>32</v>
      </c>
      <c r="E35" s="125"/>
      <c r="F35" s="125"/>
      <c r="G35" s="125"/>
      <c r="H35" s="125"/>
      <c r="I35" s="80"/>
      <c r="J35" s="80"/>
      <c r="K35" s="80"/>
      <c r="L35" s="80"/>
      <c r="M35" s="14"/>
      <c r="O35" s="5"/>
      <c r="P35" s="11"/>
      <c r="Q35" s="11"/>
      <c r="R35" s="11"/>
      <c r="S35" s="11"/>
    </row>
    <row r="36" spans="2:19" s="15" customFormat="1" ht="30" customHeight="1">
      <c r="B36" s="31" t="s">
        <v>2</v>
      </c>
      <c r="C36" s="31" t="s">
        <v>3</v>
      </c>
      <c r="D36" s="32" t="s">
        <v>4</v>
      </c>
      <c r="E36" s="133" t="s">
        <v>5</v>
      </c>
      <c r="F36" s="133"/>
      <c r="G36" s="133"/>
      <c r="H36" s="77" t="s">
        <v>137</v>
      </c>
      <c r="I36" s="77" t="s">
        <v>87</v>
      </c>
      <c r="J36" s="77" t="s">
        <v>91</v>
      </c>
      <c r="K36" s="77" t="s">
        <v>94</v>
      </c>
      <c r="L36" s="77" t="s">
        <v>149</v>
      </c>
      <c r="M36" s="14"/>
      <c r="O36" s="69" t="s">
        <v>6</v>
      </c>
      <c r="P36" s="69" t="s">
        <v>87</v>
      </c>
      <c r="Q36" s="69" t="s">
        <v>91</v>
      </c>
      <c r="R36" s="69" t="s">
        <v>94</v>
      </c>
      <c r="S36" s="77" t="s">
        <v>149</v>
      </c>
    </row>
    <row r="37" spans="2:19" s="15" customFormat="1" ht="12.75">
      <c r="B37" s="92" t="s">
        <v>17</v>
      </c>
      <c r="C37" s="93" t="s">
        <v>33</v>
      </c>
      <c r="D37" s="33" t="s">
        <v>9</v>
      </c>
      <c r="E37" s="139" t="s">
        <v>34</v>
      </c>
      <c r="F37" s="139"/>
      <c r="G37" s="139"/>
      <c r="H37" s="94">
        <f>515631.04/7.5345</f>
        <v>68435.99973455438</v>
      </c>
      <c r="I37" s="94">
        <f>I38+I40</f>
        <v>0</v>
      </c>
      <c r="J37" s="94">
        <f>J38+J40</f>
        <v>0</v>
      </c>
      <c r="K37" s="94"/>
      <c r="L37" s="94">
        <f>H37+I37+J37</f>
        <v>68435.99973455438</v>
      </c>
      <c r="M37" s="14"/>
      <c r="O37" s="29">
        <f>H37*7.5345</f>
        <v>515631.04000000004</v>
      </c>
      <c r="P37" s="29">
        <f>P38+P40</f>
        <v>0</v>
      </c>
      <c r="Q37" s="29">
        <f>Q38+Q40</f>
        <v>0</v>
      </c>
      <c r="R37" s="29"/>
      <c r="S37" s="29">
        <f>O37+P37+Q37</f>
        <v>515631.04000000004</v>
      </c>
    </row>
    <row r="38" spans="2:19" s="15" customFormat="1" ht="12.75" customHeight="1">
      <c r="B38" s="34"/>
      <c r="C38" s="35"/>
      <c r="D38" s="36"/>
      <c r="E38" s="89"/>
      <c r="F38" s="154" t="s">
        <v>103</v>
      </c>
      <c r="G38" s="154"/>
      <c r="H38" s="96">
        <v>35000</v>
      </c>
      <c r="I38" s="100">
        <v>0</v>
      </c>
      <c r="J38" s="100">
        <v>0</v>
      </c>
      <c r="K38" s="96"/>
      <c r="L38" s="96">
        <f>H38</f>
        <v>35000</v>
      </c>
      <c r="M38" s="14"/>
      <c r="O38" s="49">
        <f>H38*7.5345</f>
        <v>263707.5</v>
      </c>
      <c r="P38" s="62">
        <v>0</v>
      </c>
      <c r="Q38" s="62">
        <v>0</v>
      </c>
      <c r="R38" s="49"/>
      <c r="S38" s="49">
        <f>O38</f>
        <v>263707.5</v>
      </c>
    </row>
    <row r="39" spans="2:19" s="15" customFormat="1" ht="15" customHeight="1">
      <c r="B39" s="34"/>
      <c r="C39" s="35"/>
      <c r="D39" s="36"/>
      <c r="E39" s="89"/>
      <c r="F39" s="152" t="s">
        <v>126</v>
      </c>
      <c r="G39" s="153"/>
      <c r="H39" s="100">
        <v>10000</v>
      </c>
      <c r="I39" s="100"/>
      <c r="J39" s="100"/>
      <c r="K39" s="100"/>
      <c r="L39" s="96">
        <f>H39</f>
        <v>10000</v>
      </c>
      <c r="M39" s="14"/>
      <c r="O39" s="49">
        <f>H39*7.5345</f>
        <v>75345</v>
      </c>
      <c r="P39" s="62"/>
      <c r="Q39" s="62"/>
      <c r="R39" s="62"/>
      <c r="S39" s="49">
        <f>O39</f>
        <v>75345</v>
      </c>
    </row>
    <row r="40" spans="2:19" s="15" customFormat="1" ht="12.75" customHeight="1">
      <c r="B40" s="34"/>
      <c r="C40" s="35"/>
      <c r="D40" s="36"/>
      <c r="E40" s="89"/>
      <c r="F40" s="114" t="s">
        <v>96</v>
      </c>
      <c r="G40" s="115"/>
      <c r="H40" s="100">
        <v>23436</v>
      </c>
      <c r="I40" s="100">
        <v>0</v>
      </c>
      <c r="J40" s="100">
        <v>0</v>
      </c>
      <c r="K40" s="100"/>
      <c r="L40" s="96">
        <f>H40</f>
        <v>23436</v>
      </c>
      <c r="M40" s="14"/>
      <c r="O40" s="49">
        <f>H40*7.5345</f>
        <v>176578.54200000002</v>
      </c>
      <c r="P40" s="62">
        <v>0</v>
      </c>
      <c r="Q40" s="62">
        <v>0</v>
      </c>
      <c r="R40" s="62"/>
      <c r="S40" s="49">
        <f>O40</f>
        <v>176578.54200000002</v>
      </c>
    </row>
    <row r="41" spans="2:19" s="15" customFormat="1" ht="12.75">
      <c r="B41" s="58"/>
      <c r="C41" s="28"/>
      <c r="D41" s="24"/>
      <c r="E41" s="117" t="s">
        <v>14</v>
      </c>
      <c r="F41" s="117"/>
      <c r="G41" s="117"/>
      <c r="H41" s="79">
        <f>SUM(H38:H40)</f>
        <v>68436</v>
      </c>
      <c r="I41" s="79" t="e">
        <f>SUM(I40:I40,I37+#REF!)</f>
        <v>#REF!</v>
      </c>
      <c r="J41" s="79" t="e">
        <f>SUM(J40:J40,J37+#REF!)</f>
        <v>#REF!</v>
      </c>
      <c r="K41" s="79" t="e">
        <f>SUM(K40:K40,K37+#REF!)</f>
        <v>#REF!</v>
      </c>
      <c r="L41" s="79">
        <f>H41</f>
        <v>68436</v>
      </c>
      <c r="M41" s="14"/>
      <c r="O41" s="71">
        <f>H41*7.5345</f>
        <v>515631.042</v>
      </c>
      <c r="P41" s="30" t="e">
        <f>SUM(P40:P40,P37+#REF!)</f>
        <v>#REF!</v>
      </c>
      <c r="Q41" s="30" t="e">
        <f>SUM(Q40:Q40,Q37+#REF!)</f>
        <v>#REF!</v>
      </c>
      <c r="R41" s="30" t="e">
        <f>SUM(R40:R40,R37+#REF!)</f>
        <v>#REF!</v>
      </c>
      <c r="S41" s="30">
        <f>O41</f>
        <v>515631.042</v>
      </c>
    </row>
    <row r="42" spans="2:19" s="15" customFormat="1" ht="15.75">
      <c r="B42" s="22"/>
      <c r="C42" s="27" t="s">
        <v>35</v>
      </c>
      <c r="D42" s="125" t="s">
        <v>36</v>
      </c>
      <c r="E42" s="125"/>
      <c r="F42" s="125"/>
      <c r="G42" s="125"/>
      <c r="H42" s="125"/>
      <c r="I42" s="80"/>
      <c r="J42" s="80"/>
      <c r="K42" s="80"/>
      <c r="L42" s="80"/>
      <c r="M42" s="14"/>
      <c r="O42" s="5"/>
      <c r="P42" s="11"/>
      <c r="Q42" s="11"/>
      <c r="R42" s="11"/>
      <c r="S42" s="11"/>
    </row>
    <row r="43" spans="2:19" s="15" customFormat="1" ht="27">
      <c r="B43" s="31" t="s">
        <v>2</v>
      </c>
      <c r="C43" s="31" t="s">
        <v>3</v>
      </c>
      <c r="D43" s="32" t="s">
        <v>4</v>
      </c>
      <c r="E43" s="133" t="s">
        <v>5</v>
      </c>
      <c r="F43" s="133"/>
      <c r="G43" s="133"/>
      <c r="H43" s="77" t="s">
        <v>137</v>
      </c>
      <c r="I43" s="77" t="s">
        <v>87</v>
      </c>
      <c r="J43" s="77" t="s">
        <v>91</v>
      </c>
      <c r="K43" s="77" t="s">
        <v>94</v>
      </c>
      <c r="L43" s="77" t="s">
        <v>149</v>
      </c>
      <c r="M43" s="14"/>
      <c r="N43" s="14"/>
      <c r="O43" s="69" t="s">
        <v>6</v>
      </c>
      <c r="P43" s="69" t="s">
        <v>87</v>
      </c>
      <c r="Q43" s="69" t="s">
        <v>91</v>
      </c>
      <c r="R43" s="69" t="s">
        <v>94</v>
      </c>
      <c r="S43" s="77" t="s">
        <v>149</v>
      </c>
    </row>
    <row r="44" spans="2:19" s="15" customFormat="1" ht="12.75">
      <c r="B44" s="92" t="s">
        <v>17</v>
      </c>
      <c r="C44" s="93" t="s">
        <v>37</v>
      </c>
      <c r="D44" s="60" t="s">
        <v>9</v>
      </c>
      <c r="E44" s="124" t="s">
        <v>38</v>
      </c>
      <c r="F44" s="124"/>
      <c r="G44" s="124"/>
      <c r="H44" s="94">
        <v>94600</v>
      </c>
      <c r="I44" s="94">
        <v>0</v>
      </c>
      <c r="J44" s="94">
        <v>0</v>
      </c>
      <c r="K44" s="94"/>
      <c r="L44" s="94">
        <f aca="true" t="shared" si="3" ref="L44:L53">H44</f>
        <v>94600</v>
      </c>
      <c r="M44" s="14"/>
      <c r="O44" s="29">
        <f>H44*7.5345</f>
        <v>712763.7000000001</v>
      </c>
      <c r="P44" s="29">
        <v>0</v>
      </c>
      <c r="Q44" s="29">
        <v>0</v>
      </c>
      <c r="R44" s="29"/>
      <c r="S44" s="29">
        <f>O44</f>
        <v>712763.7000000001</v>
      </c>
    </row>
    <row r="45" spans="2:19" s="15" customFormat="1" ht="12.75">
      <c r="B45" s="45"/>
      <c r="C45" s="39"/>
      <c r="D45" s="40"/>
      <c r="E45" s="61"/>
      <c r="F45" s="131" t="s">
        <v>127</v>
      </c>
      <c r="G45" s="132"/>
      <c r="H45" s="96">
        <v>22000</v>
      </c>
      <c r="I45" s="96"/>
      <c r="J45" s="96"/>
      <c r="K45" s="96"/>
      <c r="L45" s="96">
        <f t="shared" si="3"/>
        <v>22000</v>
      </c>
      <c r="M45" s="14"/>
      <c r="O45" s="49">
        <f>H45*7.5345</f>
        <v>165759</v>
      </c>
      <c r="P45" s="49"/>
      <c r="Q45" s="49"/>
      <c r="R45" s="49"/>
      <c r="S45" s="49">
        <f>O45</f>
        <v>165759</v>
      </c>
    </row>
    <row r="46" spans="2:19" s="15" customFormat="1" ht="12.75">
      <c r="B46" s="45"/>
      <c r="C46" s="39"/>
      <c r="D46" s="40"/>
      <c r="E46" s="61"/>
      <c r="F46" s="114" t="s">
        <v>128</v>
      </c>
      <c r="G46" s="115"/>
      <c r="H46" s="96">
        <v>7000</v>
      </c>
      <c r="I46" s="96"/>
      <c r="J46" s="96"/>
      <c r="K46" s="96"/>
      <c r="L46" s="96">
        <f t="shared" si="3"/>
        <v>7000</v>
      </c>
      <c r="M46" s="14"/>
      <c r="O46" s="49">
        <f aca="true" t="shared" si="4" ref="O46:O54">H46*7.5345</f>
        <v>52741.5</v>
      </c>
      <c r="P46" s="49"/>
      <c r="Q46" s="49"/>
      <c r="R46" s="49"/>
      <c r="S46" s="49">
        <f aca="true" t="shared" si="5" ref="S46:S54">O46</f>
        <v>52741.5</v>
      </c>
    </row>
    <row r="47" spans="2:19" s="15" customFormat="1" ht="12.75">
      <c r="B47" s="45"/>
      <c r="C47" s="39"/>
      <c r="D47" s="40"/>
      <c r="E47" s="61"/>
      <c r="F47" s="114" t="s">
        <v>129</v>
      </c>
      <c r="G47" s="115"/>
      <c r="H47" s="96">
        <v>13000</v>
      </c>
      <c r="I47" s="96"/>
      <c r="J47" s="96"/>
      <c r="K47" s="96"/>
      <c r="L47" s="96">
        <f t="shared" si="3"/>
        <v>13000</v>
      </c>
      <c r="M47" s="14"/>
      <c r="O47" s="49">
        <f t="shared" si="4"/>
        <v>97948.5</v>
      </c>
      <c r="P47" s="49"/>
      <c r="Q47" s="49"/>
      <c r="R47" s="49"/>
      <c r="S47" s="49">
        <f t="shared" si="5"/>
        <v>97948.5</v>
      </c>
    </row>
    <row r="48" spans="2:19" s="15" customFormat="1" ht="12.75">
      <c r="B48" s="45"/>
      <c r="C48" s="39"/>
      <c r="D48" s="40"/>
      <c r="E48" s="61"/>
      <c r="F48" s="114" t="s">
        <v>130</v>
      </c>
      <c r="G48" s="115"/>
      <c r="H48" s="96">
        <v>15600</v>
      </c>
      <c r="I48" s="96"/>
      <c r="J48" s="96"/>
      <c r="K48" s="96"/>
      <c r="L48" s="96">
        <f t="shared" si="3"/>
        <v>15600</v>
      </c>
      <c r="M48" s="14"/>
      <c r="O48" s="49">
        <f t="shared" si="4"/>
        <v>117538.20000000001</v>
      </c>
      <c r="P48" s="49"/>
      <c r="Q48" s="49"/>
      <c r="R48" s="49"/>
      <c r="S48" s="49">
        <f t="shared" si="5"/>
        <v>117538.20000000001</v>
      </c>
    </row>
    <row r="49" spans="2:19" s="15" customFormat="1" ht="12.75">
      <c r="B49" s="45"/>
      <c r="C49" s="39"/>
      <c r="D49" s="40"/>
      <c r="E49" s="61"/>
      <c r="F49" s="144" t="s">
        <v>131</v>
      </c>
      <c r="G49" s="145"/>
      <c r="H49" s="96">
        <v>7000</v>
      </c>
      <c r="I49" s="96"/>
      <c r="J49" s="96"/>
      <c r="K49" s="96"/>
      <c r="L49" s="96">
        <f t="shared" si="3"/>
        <v>7000</v>
      </c>
      <c r="M49" s="14"/>
      <c r="O49" s="49">
        <f t="shared" si="4"/>
        <v>52741.5</v>
      </c>
      <c r="P49" s="49"/>
      <c r="Q49" s="49"/>
      <c r="R49" s="49"/>
      <c r="S49" s="49">
        <f t="shared" si="5"/>
        <v>52741.5</v>
      </c>
    </row>
    <row r="50" spans="2:19" s="15" customFormat="1" ht="12.75">
      <c r="B50" s="45"/>
      <c r="C50" s="39"/>
      <c r="D50" s="40"/>
      <c r="E50" s="61"/>
      <c r="F50" s="144" t="s">
        <v>119</v>
      </c>
      <c r="G50" s="145"/>
      <c r="H50" s="96">
        <v>30000</v>
      </c>
      <c r="I50" s="96"/>
      <c r="J50" s="96"/>
      <c r="K50" s="96"/>
      <c r="L50" s="96">
        <f t="shared" si="3"/>
        <v>30000</v>
      </c>
      <c r="M50" s="14"/>
      <c r="O50" s="49">
        <f t="shared" si="4"/>
        <v>226035</v>
      </c>
      <c r="P50" s="49"/>
      <c r="Q50" s="49"/>
      <c r="R50" s="49"/>
      <c r="S50" s="49">
        <f t="shared" si="5"/>
        <v>226035</v>
      </c>
    </row>
    <row r="51" spans="2:19" s="15" customFormat="1" ht="12.75">
      <c r="B51" s="92" t="s">
        <v>17</v>
      </c>
      <c r="C51" s="93" t="s">
        <v>37</v>
      </c>
      <c r="D51" s="33" t="s">
        <v>9</v>
      </c>
      <c r="E51" s="139" t="s">
        <v>39</v>
      </c>
      <c r="F51" s="139"/>
      <c r="G51" s="139"/>
      <c r="H51" s="94">
        <f>(1391900.93/7.5345)-H44</f>
        <v>90137.00046452982</v>
      </c>
      <c r="I51" s="94">
        <v>0</v>
      </c>
      <c r="J51" s="94">
        <v>0</v>
      </c>
      <c r="K51" s="94"/>
      <c r="L51" s="94">
        <f t="shared" si="3"/>
        <v>90137.00046452982</v>
      </c>
      <c r="M51" s="16"/>
      <c r="O51" s="29">
        <f t="shared" si="4"/>
        <v>679137.23</v>
      </c>
      <c r="P51" s="29">
        <v>0</v>
      </c>
      <c r="Q51" s="29">
        <v>0</v>
      </c>
      <c r="R51" s="29"/>
      <c r="S51" s="29">
        <f t="shared" si="5"/>
        <v>679137.23</v>
      </c>
    </row>
    <row r="52" spans="2:19" s="15" customFormat="1" ht="12.75">
      <c r="B52" s="45"/>
      <c r="C52" s="39"/>
      <c r="D52" s="40"/>
      <c r="E52" s="61"/>
      <c r="F52" s="114" t="s">
        <v>132</v>
      </c>
      <c r="G52" s="115"/>
      <c r="H52" s="96">
        <f>H51</f>
        <v>90137.00046452982</v>
      </c>
      <c r="I52" s="96"/>
      <c r="J52" s="96"/>
      <c r="K52" s="96"/>
      <c r="L52" s="96">
        <f t="shared" si="3"/>
        <v>90137.00046452982</v>
      </c>
      <c r="M52" s="16"/>
      <c r="O52" s="49">
        <f t="shared" si="4"/>
        <v>679137.23</v>
      </c>
      <c r="P52" s="49"/>
      <c r="Q52" s="49"/>
      <c r="R52" s="49"/>
      <c r="S52" s="49">
        <f t="shared" si="5"/>
        <v>679137.23</v>
      </c>
    </row>
    <row r="53" spans="2:19" s="15" customFormat="1" ht="12.75" customHeight="1">
      <c r="B53" s="92" t="s">
        <v>17</v>
      </c>
      <c r="C53" s="93" t="s">
        <v>40</v>
      </c>
      <c r="D53" s="33" t="s">
        <v>9</v>
      </c>
      <c r="E53" s="136" t="s">
        <v>41</v>
      </c>
      <c r="F53" s="137"/>
      <c r="G53" s="138"/>
      <c r="H53" s="94">
        <v>10618</v>
      </c>
      <c r="I53" s="94">
        <v>0</v>
      </c>
      <c r="J53" s="94">
        <v>0</v>
      </c>
      <c r="K53" s="94"/>
      <c r="L53" s="94">
        <f t="shared" si="3"/>
        <v>10618</v>
      </c>
      <c r="M53" s="14"/>
      <c r="O53" s="29">
        <f t="shared" si="4"/>
        <v>80001.32100000001</v>
      </c>
      <c r="P53" s="29">
        <v>0</v>
      </c>
      <c r="Q53" s="29">
        <v>0</v>
      </c>
      <c r="R53" s="29"/>
      <c r="S53" s="29">
        <f t="shared" si="5"/>
        <v>80001.32100000001</v>
      </c>
    </row>
    <row r="54" spans="2:19" s="15" customFormat="1" ht="12.75">
      <c r="B54" s="23"/>
      <c r="C54" s="28"/>
      <c r="D54" s="24"/>
      <c r="E54" s="117" t="s">
        <v>14</v>
      </c>
      <c r="F54" s="117"/>
      <c r="G54" s="117"/>
      <c r="H54" s="81">
        <f>H44+H51+H53</f>
        <v>195355.00046452982</v>
      </c>
      <c r="I54" s="81">
        <f>SUM(I53,I51,I44)</f>
        <v>0</v>
      </c>
      <c r="J54" s="81">
        <f>SUM(J53,J51,J44)</f>
        <v>0</v>
      </c>
      <c r="K54" s="81" t="e">
        <f>SUM(K53,K51,K44+#REF!)</f>
        <v>#REF!</v>
      </c>
      <c r="L54" s="81">
        <f>SUM(L53,L51,L44)</f>
        <v>195355.00046452982</v>
      </c>
      <c r="M54" s="14"/>
      <c r="O54" s="71">
        <f t="shared" si="4"/>
        <v>1471902.251</v>
      </c>
      <c r="P54" s="46">
        <f>SUM(P53,P51,P44)</f>
        <v>0</v>
      </c>
      <c r="Q54" s="46">
        <f>SUM(Q53,Q51,Q44)</f>
        <v>0</v>
      </c>
      <c r="R54" s="46" t="e">
        <f>SUM(R53,R51,R44+#REF!)</f>
        <v>#REF!</v>
      </c>
      <c r="S54" s="71">
        <f t="shared" si="5"/>
        <v>1471902.251</v>
      </c>
    </row>
    <row r="55" spans="2:19" s="8" customFormat="1" ht="15.75">
      <c r="B55" s="22"/>
      <c r="C55" s="27" t="s">
        <v>42</v>
      </c>
      <c r="D55" s="142" t="s">
        <v>43</v>
      </c>
      <c r="E55" s="142"/>
      <c r="F55" s="142"/>
      <c r="G55" s="142"/>
      <c r="H55" s="142"/>
      <c r="I55" s="76"/>
      <c r="J55" s="76"/>
      <c r="K55" s="76"/>
      <c r="L55" s="76"/>
      <c r="M55" s="9"/>
      <c r="O55" s="10"/>
      <c r="P55" s="21"/>
      <c r="Q55" s="21"/>
      <c r="R55" s="21"/>
      <c r="S55" s="21"/>
    </row>
    <row r="56" spans="2:19" s="8" customFormat="1" ht="27.75" customHeight="1">
      <c r="B56" s="31" t="s">
        <v>2</v>
      </c>
      <c r="C56" s="31" t="s">
        <v>3</v>
      </c>
      <c r="D56" s="32" t="s">
        <v>4</v>
      </c>
      <c r="E56" s="133" t="s">
        <v>5</v>
      </c>
      <c r="F56" s="133"/>
      <c r="G56" s="133"/>
      <c r="H56" s="77" t="s">
        <v>137</v>
      </c>
      <c r="I56" s="77" t="s">
        <v>87</v>
      </c>
      <c r="J56" s="77" t="s">
        <v>91</v>
      </c>
      <c r="K56" s="77" t="s">
        <v>94</v>
      </c>
      <c r="L56" s="77" t="s">
        <v>149</v>
      </c>
      <c r="M56" s="9"/>
      <c r="O56" s="69" t="s">
        <v>6</v>
      </c>
      <c r="P56" s="69" t="s">
        <v>87</v>
      </c>
      <c r="Q56" s="69" t="s">
        <v>91</v>
      </c>
      <c r="R56" s="69" t="s">
        <v>94</v>
      </c>
      <c r="S56" s="77" t="s">
        <v>149</v>
      </c>
    </row>
    <row r="57" spans="2:19" s="15" customFormat="1" ht="12.75">
      <c r="B57" s="92" t="s">
        <v>17</v>
      </c>
      <c r="C57" s="93" t="s">
        <v>44</v>
      </c>
      <c r="D57" s="33" t="s">
        <v>9</v>
      </c>
      <c r="E57" s="139" t="s">
        <v>88</v>
      </c>
      <c r="F57" s="139"/>
      <c r="G57" s="139"/>
      <c r="H57" s="94">
        <v>92746</v>
      </c>
      <c r="I57" s="94">
        <v>0</v>
      </c>
      <c r="J57" s="94">
        <v>0</v>
      </c>
      <c r="K57" s="94">
        <v>0</v>
      </c>
      <c r="L57" s="94">
        <f>H57+I57+J57+K57</f>
        <v>92746</v>
      </c>
      <c r="M57" s="14"/>
      <c r="O57" s="29">
        <f aca="true" t="shared" si="6" ref="O57:O62">H57*7.5345</f>
        <v>698794.7370000001</v>
      </c>
      <c r="P57" s="29">
        <v>0</v>
      </c>
      <c r="Q57" s="29">
        <v>0</v>
      </c>
      <c r="R57" s="29">
        <v>0</v>
      </c>
      <c r="S57" s="29">
        <f>O57+P57+Q57+R57</f>
        <v>698794.7370000001</v>
      </c>
    </row>
    <row r="58" spans="2:19" s="15" customFormat="1" ht="12.75">
      <c r="B58" s="34"/>
      <c r="C58" s="35"/>
      <c r="D58" s="36"/>
      <c r="E58" s="89"/>
      <c r="F58" s="140" t="s">
        <v>133</v>
      </c>
      <c r="G58" s="140"/>
      <c r="H58" s="96">
        <v>50000</v>
      </c>
      <c r="I58" s="96"/>
      <c r="J58" s="96"/>
      <c r="K58" s="96"/>
      <c r="L58" s="96">
        <v>340000</v>
      </c>
      <c r="M58" s="14"/>
      <c r="O58" s="49">
        <f t="shared" si="6"/>
        <v>376725</v>
      </c>
      <c r="P58" s="49"/>
      <c r="Q58" s="49"/>
      <c r="R58" s="49"/>
      <c r="S58" s="49">
        <v>340000</v>
      </c>
    </row>
    <row r="59" spans="2:19" s="15" customFormat="1" ht="12.75">
      <c r="B59" s="34"/>
      <c r="C59" s="35"/>
      <c r="D59" s="36"/>
      <c r="E59" s="89"/>
      <c r="F59" s="140" t="s">
        <v>73</v>
      </c>
      <c r="G59" s="140"/>
      <c r="H59" s="96">
        <v>17000</v>
      </c>
      <c r="I59" s="96"/>
      <c r="J59" s="96"/>
      <c r="K59" s="96"/>
      <c r="L59" s="96">
        <v>125000</v>
      </c>
      <c r="M59" s="14"/>
      <c r="O59" s="49">
        <f t="shared" si="6"/>
        <v>128086.5</v>
      </c>
      <c r="P59" s="49"/>
      <c r="Q59" s="49"/>
      <c r="R59" s="49"/>
      <c r="S59" s="49">
        <v>125000</v>
      </c>
    </row>
    <row r="60" spans="2:19" s="15" customFormat="1" ht="12.75">
      <c r="B60" s="34"/>
      <c r="C60" s="35"/>
      <c r="D60" s="36"/>
      <c r="E60" s="89"/>
      <c r="F60" s="140" t="s">
        <v>74</v>
      </c>
      <c r="G60" s="140"/>
      <c r="H60" s="96">
        <v>18000</v>
      </c>
      <c r="I60" s="96"/>
      <c r="J60" s="96"/>
      <c r="K60" s="96"/>
      <c r="L60" s="96">
        <v>100000</v>
      </c>
      <c r="M60" s="14"/>
      <c r="O60" s="49">
        <f t="shared" si="6"/>
        <v>135621</v>
      </c>
      <c r="P60" s="49"/>
      <c r="Q60" s="49"/>
      <c r="R60" s="49"/>
      <c r="S60" s="49">
        <v>100000</v>
      </c>
    </row>
    <row r="61" spans="2:19" s="15" customFormat="1" ht="12.75">
      <c r="B61" s="34"/>
      <c r="C61" s="35"/>
      <c r="D61" s="36"/>
      <c r="E61" s="89"/>
      <c r="F61" s="140" t="s">
        <v>75</v>
      </c>
      <c r="G61" s="140"/>
      <c r="H61" s="96">
        <v>7746</v>
      </c>
      <c r="I61" s="96"/>
      <c r="J61" s="96"/>
      <c r="K61" s="96"/>
      <c r="L61" s="96">
        <v>55000</v>
      </c>
      <c r="M61" s="14"/>
      <c r="O61" s="49">
        <f t="shared" si="6"/>
        <v>58362.237</v>
      </c>
      <c r="P61" s="49"/>
      <c r="Q61" s="49"/>
      <c r="R61" s="49"/>
      <c r="S61" s="49">
        <v>55000</v>
      </c>
    </row>
    <row r="62" spans="2:19" s="15" customFormat="1" ht="12.75">
      <c r="B62" s="23"/>
      <c r="C62" s="28"/>
      <c r="D62" s="24"/>
      <c r="E62" s="135" t="s">
        <v>14</v>
      </c>
      <c r="F62" s="135"/>
      <c r="G62" s="135"/>
      <c r="H62" s="79">
        <f>SUM(H58:H61)</f>
        <v>92746</v>
      </c>
      <c r="I62" s="79" t="e">
        <f>SUM(#REF!,I57)</f>
        <v>#REF!</v>
      </c>
      <c r="J62" s="79" t="e">
        <f>SUM(#REF!,J57)</f>
        <v>#REF!</v>
      </c>
      <c r="K62" s="79" t="e">
        <f>SUM(#REF!,K57)</f>
        <v>#REF!</v>
      </c>
      <c r="L62" s="79">
        <f>H62</f>
        <v>92746</v>
      </c>
      <c r="M62" s="14"/>
      <c r="O62" s="71">
        <f t="shared" si="6"/>
        <v>698794.7370000001</v>
      </c>
      <c r="P62" s="30" t="e">
        <f>SUM(#REF!,P57)</f>
        <v>#REF!</v>
      </c>
      <c r="Q62" s="30" t="e">
        <f>SUM(#REF!,Q57)</f>
        <v>#REF!</v>
      </c>
      <c r="R62" s="30" t="e">
        <f>SUM(#REF!,R57)</f>
        <v>#REF!</v>
      </c>
      <c r="S62" s="30">
        <f>O62</f>
        <v>698794.7370000001</v>
      </c>
    </row>
    <row r="63" spans="2:15" s="15" customFormat="1" ht="15.75" customHeight="1">
      <c r="B63" s="22"/>
      <c r="C63" s="27" t="s">
        <v>45</v>
      </c>
      <c r="D63" s="113" t="s">
        <v>46</v>
      </c>
      <c r="E63" s="113"/>
      <c r="F63" s="113"/>
      <c r="G63" s="113"/>
      <c r="H63" s="113"/>
      <c r="I63" s="113"/>
      <c r="J63" s="113"/>
      <c r="K63" s="113"/>
      <c r="L63" s="113"/>
      <c r="M63" s="14"/>
      <c r="O63" s="5"/>
    </row>
    <row r="64" spans="2:19" s="15" customFormat="1" ht="30" customHeight="1">
      <c r="B64" s="31" t="s">
        <v>2</v>
      </c>
      <c r="C64" s="31" t="s">
        <v>3</v>
      </c>
      <c r="D64" s="32" t="s">
        <v>4</v>
      </c>
      <c r="E64" s="133" t="s">
        <v>5</v>
      </c>
      <c r="F64" s="133"/>
      <c r="G64" s="133"/>
      <c r="H64" s="77" t="s">
        <v>137</v>
      </c>
      <c r="I64" s="77" t="s">
        <v>87</v>
      </c>
      <c r="J64" s="77" t="s">
        <v>91</v>
      </c>
      <c r="K64" s="77" t="s">
        <v>94</v>
      </c>
      <c r="L64" s="77" t="s">
        <v>149</v>
      </c>
      <c r="M64" s="14"/>
      <c r="O64" s="69" t="s">
        <v>6</v>
      </c>
      <c r="P64" s="69" t="s">
        <v>87</v>
      </c>
      <c r="Q64" s="69" t="s">
        <v>91</v>
      </c>
      <c r="R64" s="69" t="s">
        <v>94</v>
      </c>
      <c r="S64" s="77" t="s">
        <v>149</v>
      </c>
    </row>
    <row r="65" spans="2:19" s="15" customFormat="1" ht="12.75">
      <c r="B65" s="92" t="s">
        <v>17</v>
      </c>
      <c r="C65" s="93" t="s">
        <v>47</v>
      </c>
      <c r="D65" s="33" t="s">
        <v>9</v>
      </c>
      <c r="E65" s="124" t="s">
        <v>48</v>
      </c>
      <c r="F65" s="124"/>
      <c r="G65" s="124"/>
      <c r="H65" s="94">
        <f>769136.83/7.5345</f>
        <v>102082.0001327228</v>
      </c>
      <c r="I65" s="94">
        <v>0</v>
      </c>
      <c r="J65" s="94">
        <v>0</v>
      </c>
      <c r="K65" s="94">
        <v>0</v>
      </c>
      <c r="L65" s="104">
        <f aca="true" t="shared" si="7" ref="L65:L72">H65</f>
        <v>102082.0001327228</v>
      </c>
      <c r="M65" s="14"/>
      <c r="N65" s="38"/>
      <c r="O65" s="29">
        <f aca="true" t="shared" si="8" ref="O65:O71">H65*7.5345</f>
        <v>769136.83</v>
      </c>
      <c r="P65" s="29">
        <v>0</v>
      </c>
      <c r="Q65" s="29">
        <v>0</v>
      </c>
      <c r="R65" s="29">
        <v>0</v>
      </c>
      <c r="S65" s="52">
        <f>O65</f>
        <v>769136.83</v>
      </c>
    </row>
    <row r="66" spans="2:19" s="15" customFormat="1" ht="12.75">
      <c r="B66" s="34"/>
      <c r="C66" s="35"/>
      <c r="D66" s="36"/>
      <c r="E66" s="97"/>
      <c r="F66" s="140" t="s">
        <v>76</v>
      </c>
      <c r="G66" s="140"/>
      <c r="H66" s="96">
        <v>45000</v>
      </c>
      <c r="I66" s="96"/>
      <c r="J66" s="96"/>
      <c r="K66" s="96"/>
      <c r="L66" s="105">
        <f t="shared" si="7"/>
        <v>45000</v>
      </c>
      <c r="M66" s="14"/>
      <c r="N66" s="38"/>
      <c r="O66" s="49">
        <f t="shared" si="8"/>
        <v>339052.5</v>
      </c>
      <c r="P66" s="49"/>
      <c r="Q66" s="49"/>
      <c r="R66" s="49"/>
      <c r="S66" s="68">
        <f>O66</f>
        <v>339052.5</v>
      </c>
    </row>
    <row r="67" spans="2:19" s="15" customFormat="1" ht="12.75">
      <c r="B67" s="34"/>
      <c r="C67" s="35"/>
      <c r="D67" s="36"/>
      <c r="E67" s="97"/>
      <c r="F67" s="140" t="s">
        <v>77</v>
      </c>
      <c r="G67" s="140"/>
      <c r="H67" s="96">
        <v>30000</v>
      </c>
      <c r="I67" s="96"/>
      <c r="J67" s="96"/>
      <c r="K67" s="96"/>
      <c r="L67" s="105">
        <f t="shared" si="7"/>
        <v>30000</v>
      </c>
      <c r="M67" s="14"/>
      <c r="N67" s="38"/>
      <c r="O67" s="49">
        <f t="shared" si="8"/>
        <v>226035</v>
      </c>
      <c r="P67" s="49"/>
      <c r="Q67" s="49"/>
      <c r="R67" s="49"/>
      <c r="S67" s="68">
        <f aca="true" t="shared" si="9" ref="S67:S72">O67</f>
        <v>226035</v>
      </c>
    </row>
    <row r="68" spans="2:19" s="15" customFormat="1" ht="12.75">
      <c r="B68" s="34"/>
      <c r="C68" s="35"/>
      <c r="D68" s="36"/>
      <c r="E68" s="97"/>
      <c r="F68" s="140" t="s">
        <v>78</v>
      </c>
      <c r="G68" s="140"/>
      <c r="H68" s="96">
        <v>9000</v>
      </c>
      <c r="I68" s="96"/>
      <c r="J68" s="96"/>
      <c r="K68" s="96"/>
      <c r="L68" s="105">
        <f t="shared" si="7"/>
        <v>9000</v>
      </c>
      <c r="M68" s="14"/>
      <c r="N68" s="38"/>
      <c r="O68" s="49">
        <f t="shared" si="8"/>
        <v>67810.5</v>
      </c>
      <c r="P68" s="49"/>
      <c r="Q68" s="49"/>
      <c r="R68" s="49"/>
      <c r="S68" s="68">
        <f t="shared" si="9"/>
        <v>67810.5</v>
      </c>
    </row>
    <row r="69" spans="2:19" s="15" customFormat="1" ht="12.75" customHeight="1">
      <c r="B69" s="34"/>
      <c r="C69" s="35"/>
      <c r="D69" s="36"/>
      <c r="E69" s="97"/>
      <c r="F69" s="114" t="s">
        <v>134</v>
      </c>
      <c r="G69" s="115"/>
      <c r="H69" s="100">
        <v>9000</v>
      </c>
      <c r="I69" s="100"/>
      <c r="J69" s="100"/>
      <c r="K69" s="100"/>
      <c r="L69" s="105">
        <f t="shared" si="7"/>
        <v>9000</v>
      </c>
      <c r="M69" s="14"/>
      <c r="O69" s="49">
        <f t="shared" si="8"/>
        <v>67810.5</v>
      </c>
      <c r="P69" s="62"/>
      <c r="Q69" s="62"/>
      <c r="R69" s="62"/>
      <c r="S69" s="68">
        <f t="shared" si="9"/>
        <v>67810.5</v>
      </c>
    </row>
    <row r="70" spans="2:19" s="15" customFormat="1" ht="12.75">
      <c r="B70" s="34"/>
      <c r="C70" s="35"/>
      <c r="D70" s="36"/>
      <c r="E70" s="97"/>
      <c r="F70" s="150" t="s">
        <v>135</v>
      </c>
      <c r="G70" s="150"/>
      <c r="H70" s="100">
        <v>9082</v>
      </c>
      <c r="I70" s="100"/>
      <c r="J70" s="100"/>
      <c r="K70" s="100"/>
      <c r="L70" s="105">
        <f t="shared" si="7"/>
        <v>9082</v>
      </c>
      <c r="M70" s="14"/>
      <c r="O70" s="49">
        <f t="shared" si="8"/>
        <v>68428.329</v>
      </c>
      <c r="P70" s="62"/>
      <c r="Q70" s="62"/>
      <c r="R70" s="62"/>
      <c r="S70" s="68">
        <f t="shared" si="9"/>
        <v>68428.329</v>
      </c>
    </row>
    <row r="71" spans="2:19" s="15" customFormat="1" ht="12.75">
      <c r="B71" s="92" t="s">
        <v>17</v>
      </c>
      <c r="C71" s="93" t="s">
        <v>101</v>
      </c>
      <c r="D71" s="33" t="s">
        <v>9</v>
      </c>
      <c r="E71" s="124" t="s">
        <v>95</v>
      </c>
      <c r="F71" s="124"/>
      <c r="G71" s="124"/>
      <c r="H71" s="94">
        <v>14336</v>
      </c>
      <c r="I71" s="94">
        <v>0</v>
      </c>
      <c r="J71" s="94">
        <v>0</v>
      </c>
      <c r="K71" s="94">
        <v>0</v>
      </c>
      <c r="L71" s="104">
        <f t="shared" si="7"/>
        <v>14336</v>
      </c>
      <c r="M71" s="14"/>
      <c r="O71" s="29">
        <f t="shared" si="8"/>
        <v>108014.592</v>
      </c>
      <c r="P71" s="20">
        <v>0</v>
      </c>
      <c r="Q71" s="20">
        <v>0</v>
      </c>
      <c r="R71" s="20">
        <v>0</v>
      </c>
      <c r="S71" s="52">
        <f t="shared" si="9"/>
        <v>108014.592</v>
      </c>
    </row>
    <row r="72" spans="2:19" s="15" customFormat="1" ht="12.75">
      <c r="B72" s="92" t="s">
        <v>22</v>
      </c>
      <c r="C72" s="93" t="s">
        <v>141</v>
      </c>
      <c r="D72" s="33" t="s">
        <v>9</v>
      </c>
      <c r="E72" s="136" t="s">
        <v>140</v>
      </c>
      <c r="F72" s="137"/>
      <c r="G72" s="138"/>
      <c r="H72" s="94">
        <f>O72/7.5345</f>
        <v>15926.999800915786</v>
      </c>
      <c r="I72" s="94"/>
      <c r="J72" s="94"/>
      <c r="K72" s="94"/>
      <c r="L72" s="104">
        <f t="shared" si="7"/>
        <v>15926.999800915786</v>
      </c>
      <c r="M72" s="44"/>
      <c r="N72" s="63"/>
      <c r="O72" s="29">
        <v>120001.98</v>
      </c>
      <c r="P72" s="29"/>
      <c r="Q72" s="29"/>
      <c r="R72" s="29"/>
      <c r="S72" s="52">
        <f t="shared" si="9"/>
        <v>120001.98</v>
      </c>
    </row>
    <row r="73" spans="2:19" s="15" customFormat="1" ht="12.75">
      <c r="B73" s="23"/>
      <c r="C73" s="28"/>
      <c r="D73" s="24"/>
      <c r="E73" s="117" t="s">
        <v>14</v>
      </c>
      <c r="F73" s="117"/>
      <c r="G73" s="117"/>
      <c r="H73" s="79">
        <f>H65+H71+H72</f>
        <v>132344.99993363858</v>
      </c>
      <c r="I73" s="79">
        <f>I65+I71</f>
        <v>0</v>
      </c>
      <c r="J73" s="79">
        <f>J65+J71</f>
        <v>0</v>
      </c>
      <c r="K73" s="79" t="e">
        <f>K65+#REF!+#REF!+K71</f>
        <v>#REF!</v>
      </c>
      <c r="L73" s="82">
        <f>L65+L71+L72</f>
        <v>132344.99993363858</v>
      </c>
      <c r="M73" s="14"/>
      <c r="O73" s="71">
        <f>H73*7.5345</f>
        <v>997153.4019999999</v>
      </c>
      <c r="P73" s="30">
        <f>P65+P71</f>
        <v>0</v>
      </c>
      <c r="Q73" s="30">
        <f>Q65+Q71</f>
        <v>0</v>
      </c>
      <c r="R73" s="30" t="e">
        <f>R65+#REF!+#REF!+R71</f>
        <v>#REF!</v>
      </c>
      <c r="S73" s="72">
        <f>S65+S71+S72</f>
        <v>997153.402</v>
      </c>
    </row>
    <row r="74" spans="2:19" s="15" customFormat="1" ht="15.75">
      <c r="B74" s="22"/>
      <c r="C74" s="27" t="s">
        <v>49</v>
      </c>
      <c r="D74" s="125" t="s">
        <v>50</v>
      </c>
      <c r="E74" s="125"/>
      <c r="F74" s="125"/>
      <c r="G74" s="125"/>
      <c r="H74" s="125"/>
      <c r="I74" s="80"/>
      <c r="J74" s="80"/>
      <c r="K74" s="80"/>
      <c r="L74" s="80"/>
      <c r="M74" s="14"/>
      <c r="O74" s="5"/>
      <c r="P74" s="11"/>
      <c r="Q74" s="11"/>
      <c r="R74" s="11"/>
      <c r="S74" s="11"/>
    </row>
    <row r="75" spans="2:19" s="15" customFormat="1" ht="30" customHeight="1">
      <c r="B75" s="31" t="s">
        <v>2</v>
      </c>
      <c r="C75" s="31" t="s">
        <v>3</v>
      </c>
      <c r="D75" s="32" t="s">
        <v>4</v>
      </c>
      <c r="E75" s="133" t="s">
        <v>5</v>
      </c>
      <c r="F75" s="133"/>
      <c r="G75" s="133"/>
      <c r="H75" s="77" t="s">
        <v>137</v>
      </c>
      <c r="I75" s="77" t="s">
        <v>87</v>
      </c>
      <c r="J75" s="77" t="s">
        <v>91</v>
      </c>
      <c r="K75" s="77" t="s">
        <v>94</v>
      </c>
      <c r="L75" s="77" t="s">
        <v>149</v>
      </c>
      <c r="M75" s="14"/>
      <c r="O75" s="69" t="s">
        <v>6</v>
      </c>
      <c r="P75" s="69" t="s">
        <v>87</v>
      </c>
      <c r="Q75" s="69" t="s">
        <v>91</v>
      </c>
      <c r="R75" s="69" t="s">
        <v>94</v>
      </c>
      <c r="S75" s="77" t="s">
        <v>149</v>
      </c>
    </row>
    <row r="76" spans="2:19" s="15" customFormat="1" ht="12.75">
      <c r="B76" s="92" t="s">
        <v>22</v>
      </c>
      <c r="C76" s="93" t="s">
        <v>51</v>
      </c>
      <c r="D76" s="33" t="s">
        <v>9</v>
      </c>
      <c r="E76" s="124" t="s">
        <v>52</v>
      </c>
      <c r="F76" s="124"/>
      <c r="G76" s="124"/>
      <c r="H76" s="94">
        <f>2998.73/7.5345</f>
        <v>397.9998672771916</v>
      </c>
      <c r="I76" s="94">
        <v>0</v>
      </c>
      <c r="J76" s="94">
        <v>0</v>
      </c>
      <c r="K76" s="94">
        <v>0</v>
      </c>
      <c r="L76" s="94">
        <f>H76+I76+J76</f>
        <v>397.9998672771916</v>
      </c>
      <c r="M76" s="16"/>
      <c r="O76" s="29">
        <f>H76*7.5345</f>
        <v>2998.73</v>
      </c>
      <c r="P76" s="29">
        <v>0</v>
      </c>
      <c r="Q76" s="29">
        <v>0</v>
      </c>
      <c r="R76" s="29">
        <v>0</v>
      </c>
      <c r="S76" s="29">
        <f>O76+P76+Q76</f>
        <v>2998.73</v>
      </c>
    </row>
    <row r="77" spans="2:19" s="15" customFormat="1" ht="12.75" customHeight="1">
      <c r="B77" s="92" t="s">
        <v>22</v>
      </c>
      <c r="C77" s="93" t="s">
        <v>53</v>
      </c>
      <c r="D77" s="33" t="s">
        <v>9</v>
      </c>
      <c r="E77" s="124" t="s">
        <v>54</v>
      </c>
      <c r="F77" s="124"/>
      <c r="G77" s="124"/>
      <c r="H77" s="94">
        <v>33181</v>
      </c>
      <c r="I77" s="94">
        <v>0</v>
      </c>
      <c r="J77" s="94">
        <v>0</v>
      </c>
      <c r="K77" s="94">
        <v>0</v>
      </c>
      <c r="L77" s="99">
        <f>H77</f>
        <v>33181</v>
      </c>
      <c r="M77" s="14"/>
      <c r="O77" s="29">
        <f>H77*7.5345</f>
        <v>250002.2445</v>
      </c>
      <c r="P77" s="29">
        <v>0</v>
      </c>
      <c r="Q77" s="29">
        <v>0</v>
      </c>
      <c r="R77" s="29">
        <v>0</v>
      </c>
      <c r="S77" s="70">
        <f>O77</f>
        <v>250002.2445</v>
      </c>
    </row>
    <row r="78" spans="2:19" s="15" customFormat="1" ht="12.75">
      <c r="B78" s="45"/>
      <c r="C78" s="39"/>
      <c r="D78" s="40"/>
      <c r="E78" s="41"/>
      <c r="F78" s="131" t="s">
        <v>109</v>
      </c>
      <c r="G78" s="132"/>
      <c r="H78" s="106">
        <v>1200</v>
      </c>
      <c r="I78" s="96"/>
      <c r="J78" s="96"/>
      <c r="K78" s="96"/>
      <c r="L78" s="96">
        <f aca="true" t="shared" si="10" ref="L78:L86">H78</f>
        <v>1200</v>
      </c>
      <c r="M78" s="14"/>
      <c r="O78" s="49">
        <f aca="true" t="shared" si="11" ref="O78:O86">H78*7.5345</f>
        <v>9041.4</v>
      </c>
      <c r="P78" s="49"/>
      <c r="Q78" s="49"/>
      <c r="R78" s="49"/>
      <c r="S78" s="49">
        <f aca="true" t="shared" si="12" ref="S78:S86">O78</f>
        <v>9041.4</v>
      </c>
    </row>
    <row r="79" spans="2:19" s="15" customFormat="1" ht="12.75">
      <c r="B79" s="45"/>
      <c r="C79" s="39"/>
      <c r="D79" s="40"/>
      <c r="E79" s="41"/>
      <c r="F79" s="114" t="s">
        <v>110</v>
      </c>
      <c r="G79" s="115"/>
      <c r="H79" s="96">
        <v>2000</v>
      </c>
      <c r="I79" s="96"/>
      <c r="J79" s="96"/>
      <c r="K79" s="96"/>
      <c r="L79" s="96">
        <f t="shared" si="10"/>
        <v>2000</v>
      </c>
      <c r="M79" s="14"/>
      <c r="O79" s="49">
        <f t="shared" si="11"/>
        <v>15069</v>
      </c>
      <c r="P79" s="49"/>
      <c r="Q79" s="49"/>
      <c r="R79" s="49"/>
      <c r="S79" s="49">
        <f t="shared" si="12"/>
        <v>15069</v>
      </c>
    </row>
    <row r="80" spans="2:19" s="15" customFormat="1" ht="12.75">
      <c r="B80" s="45"/>
      <c r="C80" s="39"/>
      <c r="D80" s="40"/>
      <c r="E80" s="41"/>
      <c r="F80" s="114" t="s">
        <v>111</v>
      </c>
      <c r="G80" s="115"/>
      <c r="H80" s="96">
        <v>5000</v>
      </c>
      <c r="I80" s="96"/>
      <c r="J80" s="96"/>
      <c r="K80" s="96"/>
      <c r="L80" s="96">
        <f t="shared" si="10"/>
        <v>5000</v>
      </c>
      <c r="M80" s="14"/>
      <c r="O80" s="49">
        <f t="shared" si="11"/>
        <v>37672.5</v>
      </c>
      <c r="P80" s="49"/>
      <c r="Q80" s="49"/>
      <c r="R80" s="49"/>
      <c r="S80" s="49">
        <f t="shared" si="12"/>
        <v>37672.5</v>
      </c>
    </row>
    <row r="81" spans="2:19" s="15" customFormat="1" ht="12.75">
      <c r="B81" s="45"/>
      <c r="C81" s="39"/>
      <c r="D81" s="40"/>
      <c r="E81" s="41"/>
      <c r="F81" s="114" t="s">
        <v>112</v>
      </c>
      <c r="G81" s="115"/>
      <c r="H81" s="96">
        <v>6600</v>
      </c>
      <c r="I81" s="96"/>
      <c r="J81" s="96"/>
      <c r="K81" s="96"/>
      <c r="L81" s="96">
        <f t="shared" si="10"/>
        <v>6600</v>
      </c>
      <c r="M81" s="14"/>
      <c r="O81" s="49">
        <f t="shared" si="11"/>
        <v>49727.700000000004</v>
      </c>
      <c r="P81" s="49"/>
      <c r="Q81" s="49"/>
      <c r="R81" s="49"/>
      <c r="S81" s="49">
        <f t="shared" si="12"/>
        <v>49727.700000000004</v>
      </c>
    </row>
    <row r="82" spans="2:19" s="15" customFormat="1" ht="12.75">
      <c r="B82" s="45"/>
      <c r="C82" s="39"/>
      <c r="D82" s="40"/>
      <c r="E82" s="41"/>
      <c r="F82" s="114" t="s">
        <v>113</v>
      </c>
      <c r="G82" s="115"/>
      <c r="H82" s="96">
        <v>6600</v>
      </c>
      <c r="I82" s="96"/>
      <c r="J82" s="96"/>
      <c r="K82" s="96"/>
      <c r="L82" s="96">
        <f t="shared" si="10"/>
        <v>6600</v>
      </c>
      <c r="M82" s="14"/>
      <c r="O82" s="49">
        <f t="shared" si="11"/>
        <v>49727.700000000004</v>
      </c>
      <c r="P82" s="49"/>
      <c r="Q82" s="49"/>
      <c r="R82" s="49"/>
      <c r="S82" s="49">
        <f t="shared" si="12"/>
        <v>49727.700000000004</v>
      </c>
    </row>
    <row r="83" spans="2:19" s="15" customFormat="1" ht="12.75">
      <c r="B83" s="45"/>
      <c r="C83" s="39"/>
      <c r="D83" s="40"/>
      <c r="E83" s="41"/>
      <c r="F83" s="144" t="s">
        <v>114</v>
      </c>
      <c r="G83" s="145"/>
      <c r="H83" s="100">
        <f>H77-H78-H79-H80-H81-H82</f>
        <v>11781</v>
      </c>
      <c r="I83" s="100"/>
      <c r="J83" s="100"/>
      <c r="K83" s="100"/>
      <c r="L83" s="100">
        <f t="shared" si="10"/>
        <v>11781</v>
      </c>
      <c r="M83" s="14"/>
      <c r="O83" s="49">
        <f t="shared" si="11"/>
        <v>88763.9445</v>
      </c>
      <c r="P83" s="62"/>
      <c r="Q83" s="62"/>
      <c r="R83" s="62"/>
      <c r="S83" s="62">
        <f t="shared" si="12"/>
        <v>88763.9445</v>
      </c>
    </row>
    <row r="84" spans="2:19" s="15" customFormat="1" ht="12.75">
      <c r="B84" s="92" t="s">
        <v>22</v>
      </c>
      <c r="C84" s="93" t="s">
        <v>142</v>
      </c>
      <c r="D84" s="33" t="s">
        <v>9</v>
      </c>
      <c r="E84" s="136" t="s">
        <v>143</v>
      </c>
      <c r="F84" s="137"/>
      <c r="G84" s="138"/>
      <c r="H84" s="107">
        <f>124002.8/7.5345</f>
        <v>16457.99986727719</v>
      </c>
      <c r="I84" s="107"/>
      <c r="J84" s="107"/>
      <c r="K84" s="107"/>
      <c r="L84" s="107">
        <f>H85</f>
        <v>16457.99986727719</v>
      </c>
      <c r="M84" s="14"/>
      <c r="O84" s="73">
        <f>H85*7.5345</f>
        <v>124002.8</v>
      </c>
      <c r="P84" s="73"/>
      <c r="Q84" s="73"/>
      <c r="R84" s="73"/>
      <c r="S84" s="73">
        <f t="shared" si="12"/>
        <v>124002.8</v>
      </c>
    </row>
    <row r="85" spans="2:19" s="15" customFormat="1" ht="12.75">
      <c r="B85" s="92" t="s">
        <v>22</v>
      </c>
      <c r="C85" s="93" t="s">
        <v>145</v>
      </c>
      <c r="D85" s="33" t="s">
        <v>9</v>
      </c>
      <c r="E85" s="136" t="s">
        <v>144</v>
      </c>
      <c r="F85" s="137"/>
      <c r="G85" s="138"/>
      <c r="H85" s="107">
        <f>124002.8/7.5345</f>
        <v>16457.99986727719</v>
      </c>
      <c r="I85" s="107"/>
      <c r="J85" s="107"/>
      <c r="K85" s="107"/>
      <c r="L85" s="107">
        <f>H85</f>
        <v>16457.99986727719</v>
      </c>
      <c r="M85" s="14"/>
      <c r="O85" s="73">
        <f>H85*7.5345</f>
        <v>124002.8</v>
      </c>
      <c r="P85" s="73"/>
      <c r="Q85" s="73"/>
      <c r="R85" s="73"/>
      <c r="S85" s="73">
        <f t="shared" si="12"/>
        <v>124002.8</v>
      </c>
    </row>
    <row r="86" spans="2:19" s="15" customFormat="1" ht="27.75" customHeight="1">
      <c r="B86" s="92" t="s">
        <v>17</v>
      </c>
      <c r="C86" s="93" t="s">
        <v>89</v>
      </c>
      <c r="D86" s="33" t="s">
        <v>84</v>
      </c>
      <c r="E86" s="124" t="s">
        <v>90</v>
      </c>
      <c r="F86" s="124"/>
      <c r="G86" s="124"/>
      <c r="H86" s="94">
        <v>1991</v>
      </c>
      <c r="I86" s="94">
        <v>0</v>
      </c>
      <c r="J86" s="94">
        <v>0</v>
      </c>
      <c r="K86" s="94">
        <v>0</v>
      </c>
      <c r="L86" s="94">
        <f t="shared" si="10"/>
        <v>1991</v>
      </c>
      <c r="M86" s="14"/>
      <c r="O86" s="29">
        <f t="shared" si="11"/>
        <v>15001.1895</v>
      </c>
      <c r="P86" s="29">
        <v>0</v>
      </c>
      <c r="Q86" s="29">
        <v>0</v>
      </c>
      <c r="R86" s="29">
        <v>0</v>
      </c>
      <c r="S86" s="29">
        <f t="shared" si="12"/>
        <v>15001.1895</v>
      </c>
    </row>
    <row r="87" spans="2:19" s="8" customFormat="1" ht="15">
      <c r="B87" s="23"/>
      <c r="C87" s="28"/>
      <c r="D87" s="24"/>
      <c r="E87" s="135" t="s">
        <v>14</v>
      </c>
      <c r="F87" s="135"/>
      <c r="G87" s="135"/>
      <c r="H87" s="79">
        <f>H76+H77+H84+H85+H86</f>
        <v>68485.99960183157</v>
      </c>
      <c r="I87" s="79" t="e">
        <f>#REF!</f>
        <v>#REF!</v>
      </c>
      <c r="J87" s="79" t="e">
        <f>SUM(#REF!+#REF!+J86)</f>
        <v>#REF!</v>
      </c>
      <c r="K87" s="79" t="e">
        <f>SUM(K86,K77,K76)+#REF!+#REF!</f>
        <v>#REF!</v>
      </c>
      <c r="L87" s="79">
        <f>H87</f>
        <v>68485.99960183157</v>
      </c>
      <c r="M87" s="9"/>
      <c r="O87" s="71">
        <f>H87*7.5345</f>
        <v>516007.764</v>
      </c>
      <c r="P87" s="30" t="e">
        <f>#REF!</f>
        <v>#REF!</v>
      </c>
      <c r="Q87" s="30" t="e">
        <f>SUM(#REF!+#REF!+Q86)</f>
        <v>#REF!</v>
      </c>
      <c r="R87" s="30" t="e">
        <f>SUM(R86,R77,R76)+#REF!+#REF!</f>
        <v>#REF!</v>
      </c>
      <c r="S87" s="30">
        <f>O87</f>
        <v>516007.764</v>
      </c>
    </row>
    <row r="88" spans="2:15" s="8" customFormat="1" ht="15.75" customHeight="1">
      <c r="B88" s="22"/>
      <c r="C88" s="27" t="s">
        <v>56</v>
      </c>
      <c r="D88" s="116" t="s">
        <v>115</v>
      </c>
      <c r="E88" s="116"/>
      <c r="F88" s="116"/>
      <c r="G88" s="116"/>
      <c r="H88" s="116"/>
      <c r="I88" s="116"/>
      <c r="J88" s="116"/>
      <c r="K88" s="116"/>
      <c r="L88" s="116"/>
      <c r="M88" s="9"/>
      <c r="O88" s="12"/>
    </row>
    <row r="89" spans="2:19" s="8" customFormat="1" ht="30" customHeight="1">
      <c r="B89" s="31" t="s">
        <v>2</v>
      </c>
      <c r="C89" s="31" t="s">
        <v>3</v>
      </c>
      <c r="D89" s="32" t="s">
        <v>4</v>
      </c>
      <c r="E89" s="133" t="s">
        <v>5</v>
      </c>
      <c r="F89" s="133"/>
      <c r="G89" s="133"/>
      <c r="H89" s="77" t="s">
        <v>137</v>
      </c>
      <c r="I89" s="77" t="s">
        <v>87</v>
      </c>
      <c r="J89" s="77" t="s">
        <v>91</v>
      </c>
      <c r="K89" s="77" t="s">
        <v>94</v>
      </c>
      <c r="L89" s="77" t="s">
        <v>149</v>
      </c>
      <c r="M89" s="14"/>
      <c r="O89" s="69" t="s">
        <v>6</v>
      </c>
      <c r="P89" s="69" t="s">
        <v>87</v>
      </c>
      <c r="Q89" s="69" t="s">
        <v>91</v>
      </c>
      <c r="R89" s="69" t="s">
        <v>94</v>
      </c>
      <c r="S89" s="77" t="s">
        <v>149</v>
      </c>
    </row>
    <row r="90" spans="2:19" s="15" customFormat="1" ht="12.75">
      <c r="B90" s="92" t="s">
        <v>57</v>
      </c>
      <c r="C90" s="93" t="s">
        <v>59</v>
      </c>
      <c r="D90" s="33" t="s">
        <v>55</v>
      </c>
      <c r="E90" s="124" t="s">
        <v>60</v>
      </c>
      <c r="F90" s="124"/>
      <c r="G90" s="124"/>
      <c r="H90" s="94">
        <v>15927</v>
      </c>
      <c r="I90" s="94">
        <v>0</v>
      </c>
      <c r="J90" s="94">
        <v>0</v>
      </c>
      <c r="K90" s="94"/>
      <c r="L90" s="94">
        <f>H90+I90+J90+K90</f>
        <v>15927</v>
      </c>
      <c r="M90" s="14"/>
      <c r="O90" s="29">
        <f>H90*7.5345</f>
        <v>120001.98150000001</v>
      </c>
      <c r="P90" s="29">
        <v>0</v>
      </c>
      <c r="Q90" s="29">
        <v>0</v>
      </c>
      <c r="R90" s="29"/>
      <c r="S90" s="29">
        <f>O90+P90+Q90+R90</f>
        <v>120001.98150000001</v>
      </c>
    </row>
    <row r="91" spans="2:19" s="15" customFormat="1" ht="12.75" customHeight="1">
      <c r="B91" s="45"/>
      <c r="C91" s="39"/>
      <c r="D91" s="40"/>
      <c r="E91" s="63"/>
      <c r="F91" s="114" t="s">
        <v>116</v>
      </c>
      <c r="G91" s="115"/>
      <c r="H91" s="96">
        <f>H90-H92</f>
        <v>10927</v>
      </c>
      <c r="I91" s="94"/>
      <c r="J91" s="94"/>
      <c r="K91" s="94"/>
      <c r="L91" s="96">
        <f>H91</f>
        <v>10927</v>
      </c>
      <c r="M91" s="14"/>
      <c r="O91" s="49">
        <f aca="true" t="shared" si="13" ref="O91:O105">H91*7.5345</f>
        <v>82329.48150000001</v>
      </c>
      <c r="P91" s="29"/>
      <c r="Q91" s="29"/>
      <c r="R91" s="29"/>
      <c r="S91" s="49">
        <f aca="true" t="shared" si="14" ref="S91:S100">O91</f>
        <v>82329.48150000001</v>
      </c>
    </row>
    <row r="92" spans="2:19" s="15" customFormat="1" ht="24.75" customHeight="1">
      <c r="B92" s="45"/>
      <c r="C92" s="39"/>
      <c r="D92" s="40"/>
      <c r="E92" s="63"/>
      <c r="F92" s="114" t="s">
        <v>117</v>
      </c>
      <c r="G92" s="115"/>
      <c r="H92" s="96">
        <v>5000</v>
      </c>
      <c r="I92" s="94"/>
      <c r="J92" s="94"/>
      <c r="K92" s="94"/>
      <c r="L92" s="96">
        <f>H92</f>
        <v>5000</v>
      </c>
      <c r="M92" s="14"/>
      <c r="O92" s="49">
        <f t="shared" si="13"/>
        <v>37672.5</v>
      </c>
      <c r="P92" s="29"/>
      <c r="Q92" s="29"/>
      <c r="R92" s="29"/>
      <c r="S92" s="49">
        <f t="shared" si="14"/>
        <v>37672.5</v>
      </c>
    </row>
    <row r="93" spans="2:19" s="15" customFormat="1" ht="15.75" customHeight="1">
      <c r="B93" s="92" t="s">
        <v>57</v>
      </c>
      <c r="C93" s="93" t="s">
        <v>58</v>
      </c>
      <c r="D93" s="33" t="s">
        <v>9</v>
      </c>
      <c r="E93" s="128" t="s">
        <v>102</v>
      </c>
      <c r="F93" s="129"/>
      <c r="G93" s="130"/>
      <c r="H93" s="94">
        <v>23890</v>
      </c>
      <c r="I93" s="94">
        <v>0</v>
      </c>
      <c r="J93" s="94">
        <v>0</v>
      </c>
      <c r="K93" s="94"/>
      <c r="L93" s="94">
        <f aca="true" t="shared" si="15" ref="L93:L100">H93</f>
        <v>23890</v>
      </c>
      <c r="M93" s="14"/>
      <c r="O93" s="29">
        <f t="shared" si="13"/>
        <v>179999.20500000002</v>
      </c>
      <c r="P93" s="29">
        <v>0</v>
      </c>
      <c r="Q93" s="29">
        <v>0</v>
      </c>
      <c r="R93" s="29"/>
      <c r="S93" s="29">
        <f t="shared" si="14"/>
        <v>179999.20500000002</v>
      </c>
    </row>
    <row r="94" spans="2:19" s="15" customFormat="1" ht="12.75" customHeight="1">
      <c r="B94" s="45"/>
      <c r="C94" s="39"/>
      <c r="D94" s="40"/>
      <c r="E94" s="64"/>
      <c r="F94" s="114" t="s">
        <v>152</v>
      </c>
      <c r="G94" s="115"/>
      <c r="H94" s="96">
        <v>8000</v>
      </c>
      <c r="I94" s="96"/>
      <c r="J94" s="96"/>
      <c r="K94" s="96"/>
      <c r="L94" s="96">
        <f t="shared" si="15"/>
        <v>8000</v>
      </c>
      <c r="M94" s="14"/>
      <c r="O94" s="49">
        <f t="shared" si="13"/>
        <v>60276</v>
      </c>
      <c r="P94" s="49"/>
      <c r="Q94" s="49"/>
      <c r="R94" s="49"/>
      <c r="S94" s="49">
        <f t="shared" si="14"/>
        <v>60276</v>
      </c>
    </row>
    <row r="95" spans="2:19" s="15" customFormat="1" ht="12.75">
      <c r="B95" s="45"/>
      <c r="C95" s="39"/>
      <c r="D95" s="40"/>
      <c r="E95" s="64"/>
      <c r="F95" s="114" t="s">
        <v>120</v>
      </c>
      <c r="G95" s="115"/>
      <c r="H95" s="96">
        <v>2800</v>
      </c>
      <c r="I95" s="96"/>
      <c r="J95" s="96"/>
      <c r="K95" s="96"/>
      <c r="L95" s="96">
        <f t="shared" si="15"/>
        <v>2800</v>
      </c>
      <c r="M95" s="14"/>
      <c r="O95" s="49">
        <f t="shared" si="13"/>
        <v>21096.600000000002</v>
      </c>
      <c r="P95" s="49"/>
      <c r="Q95" s="49"/>
      <c r="R95" s="49"/>
      <c r="S95" s="49">
        <f t="shared" si="14"/>
        <v>21096.600000000002</v>
      </c>
    </row>
    <row r="96" spans="2:19" s="15" customFormat="1" ht="12.75" customHeight="1">
      <c r="B96" s="45"/>
      <c r="C96" s="39"/>
      <c r="D96" s="40"/>
      <c r="E96" s="64"/>
      <c r="F96" s="114" t="s">
        <v>153</v>
      </c>
      <c r="G96" s="115"/>
      <c r="H96" s="96">
        <v>2000</v>
      </c>
      <c r="I96" s="96"/>
      <c r="J96" s="96"/>
      <c r="K96" s="96"/>
      <c r="L96" s="96">
        <f t="shared" si="15"/>
        <v>2000</v>
      </c>
      <c r="M96" s="14"/>
      <c r="O96" s="49">
        <f t="shared" si="13"/>
        <v>15069</v>
      </c>
      <c r="P96" s="49"/>
      <c r="Q96" s="49"/>
      <c r="R96" s="49"/>
      <c r="S96" s="49">
        <f t="shared" si="14"/>
        <v>15069</v>
      </c>
    </row>
    <row r="97" spans="2:19" s="15" customFormat="1" ht="12.75" customHeight="1">
      <c r="B97" s="45"/>
      <c r="C97" s="39"/>
      <c r="D97" s="40"/>
      <c r="E97" s="64"/>
      <c r="F97" s="146" t="s">
        <v>156</v>
      </c>
      <c r="G97" s="147"/>
      <c r="H97" s="96">
        <v>4000</v>
      </c>
      <c r="I97" s="96"/>
      <c r="J97" s="96"/>
      <c r="K97" s="96"/>
      <c r="L97" s="96">
        <f t="shared" si="15"/>
        <v>4000</v>
      </c>
      <c r="M97" s="14"/>
      <c r="O97" s="49">
        <f t="shared" si="13"/>
        <v>30138</v>
      </c>
      <c r="P97" s="49"/>
      <c r="Q97" s="49"/>
      <c r="R97" s="49"/>
      <c r="S97" s="49">
        <f t="shared" si="14"/>
        <v>30138</v>
      </c>
    </row>
    <row r="98" spans="3:19" s="15" customFormat="1" ht="12.75" customHeight="1">
      <c r="C98" s="39"/>
      <c r="D98" s="40"/>
      <c r="E98" s="64"/>
      <c r="F98" s="114" t="s">
        <v>154</v>
      </c>
      <c r="G98" s="115"/>
      <c r="H98" s="96">
        <v>3000</v>
      </c>
      <c r="I98" s="96"/>
      <c r="J98" s="96"/>
      <c r="K98" s="96"/>
      <c r="L98" s="96">
        <f t="shared" si="15"/>
        <v>3000</v>
      </c>
      <c r="M98" s="14"/>
      <c r="O98" s="49">
        <f t="shared" si="13"/>
        <v>22603.5</v>
      </c>
      <c r="P98" s="49"/>
      <c r="Q98" s="49"/>
      <c r="R98" s="49"/>
      <c r="S98" s="49">
        <f t="shared" si="14"/>
        <v>22603.5</v>
      </c>
    </row>
    <row r="99" spans="3:19" s="15" customFormat="1" ht="12.75" customHeight="1">
      <c r="C99" s="39"/>
      <c r="D99" s="40"/>
      <c r="E99" s="64"/>
      <c r="F99" s="102" t="s">
        <v>155</v>
      </c>
      <c r="G99" s="103"/>
      <c r="H99" s="96">
        <v>1500</v>
      </c>
      <c r="I99" s="96"/>
      <c r="J99" s="96"/>
      <c r="K99" s="96"/>
      <c r="L99" s="96">
        <f t="shared" si="15"/>
        <v>1500</v>
      </c>
      <c r="M99" s="14"/>
      <c r="O99" s="49">
        <f t="shared" si="13"/>
        <v>11301.75</v>
      </c>
      <c r="P99" s="49"/>
      <c r="Q99" s="49"/>
      <c r="R99" s="49"/>
      <c r="S99" s="49">
        <f t="shared" si="14"/>
        <v>11301.75</v>
      </c>
    </row>
    <row r="100" spans="2:19" s="15" customFormat="1" ht="12.75" customHeight="1">
      <c r="B100" s="45"/>
      <c r="C100" s="39"/>
      <c r="D100" s="40"/>
      <c r="E100" s="64"/>
      <c r="F100" s="144" t="s">
        <v>119</v>
      </c>
      <c r="G100" s="145"/>
      <c r="H100" s="96">
        <f>H93-H94-H95-H96-H97-H98-H99</f>
        <v>2590</v>
      </c>
      <c r="I100" s="96"/>
      <c r="J100" s="96"/>
      <c r="K100" s="96"/>
      <c r="L100" s="96">
        <f t="shared" si="15"/>
        <v>2590</v>
      </c>
      <c r="M100" s="14"/>
      <c r="O100" s="49">
        <f t="shared" si="13"/>
        <v>19514.355</v>
      </c>
      <c r="P100" s="49"/>
      <c r="Q100" s="49"/>
      <c r="R100" s="49"/>
      <c r="S100" s="49">
        <f t="shared" si="14"/>
        <v>19514.355</v>
      </c>
    </row>
    <row r="101" spans="2:19" s="15" customFormat="1" ht="12.75">
      <c r="B101" s="92" t="s">
        <v>57</v>
      </c>
      <c r="C101" s="110" t="s">
        <v>61</v>
      </c>
      <c r="D101" s="109" t="s">
        <v>55</v>
      </c>
      <c r="E101" s="124" t="s">
        <v>118</v>
      </c>
      <c r="F101" s="124"/>
      <c r="G101" s="124"/>
      <c r="H101" s="111">
        <v>3982</v>
      </c>
      <c r="I101" s="111">
        <v>0</v>
      </c>
      <c r="J101" s="111">
        <v>0</v>
      </c>
      <c r="K101" s="111"/>
      <c r="L101" s="94">
        <f>H101+I101+J101+K101</f>
        <v>3982</v>
      </c>
      <c r="M101" s="14"/>
      <c r="O101" s="29">
        <f t="shared" si="13"/>
        <v>30002.379</v>
      </c>
      <c r="P101" s="59">
        <v>0</v>
      </c>
      <c r="Q101" s="59">
        <v>0</v>
      </c>
      <c r="R101" s="59"/>
      <c r="S101" s="29">
        <f>O101+P101+Q101+R101</f>
        <v>30002.379</v>
      </c>
    </row>
    <row r="102" spans="2:19" s="15" customFormat="1" ht="24.75" customHeight="1">
      <c r="B102" s="92" t="s">
        <v>57</v>
      </c>
      <c r="C102" s="93" t="s">
        <v>62</v>
      </c>
      <c r="D102" s="33" t="s">
        <v>55</v>
      </c>
      <c r="E102" s="124" t="s">
        <v>63</v>
      </c>
      <c r="F102" s="124"/>
      <c r="G102" s="124"/>
      <c r="H102" s="94">
        <v>1991</v>
      </c>
      <c r="I102" s="94">
        <v>0</v>
      </c>
      <c r="J102" s="94">
        <v>0</v>
      </c>
      <c r="K102" s="94"/>
      <c r="L102" s="94">
        <f>H102+I102+J102+K102</f>
        <v>1991</v>
      </c>
      <c r="M102" s="14"/>
      <c r="O102" s="29">
        <f t="shared" si="13"/>
        <v>15001.1895</v>
      </c>
      <c r="P102" s="29">
        <v>0</v>
      </c>
      <c r="Q102" s="29">
        <v>0</v>
      </c>
      <c r="R102" s="29"/>
      <c r="S102" s="29">
        <f>O102+P102+Q102+R102</f>
        <v>15001.1895</v>
      </c>
    </row>
    <row r="103" spans="2:19" s="15" customFormat="1" ht="12.75">
      <c r="B103" s="92" t="s">
        <v>64</v>
      </c>
      <c r="C103" s="93" t="s">
        <v>150</v>
      </c>
      <c r="D103" s="33" t="s">
        <v>65</v>
      </c>
      <c r="E103" s="124" t="s">
        <v>66</v>
      </c>
      <c r="F103" s="124"/>
      <c r="G103" s="124"/>
      <c r="H103" s="94">
        <v>6371</v>
      </c>
      <c r="I103" s="94">
        <v>0</v>
      </c>
      <c r="J103" s="94">
        <v>0</v>
      </c>
      <c r="K103" s="94"/>
      <c r="L103" s="94">
        <f>H103+I103+J103+K103</f>
        <v>6371</v>
      </c>
      <c r="M103" s="14"/>
      <c r="O103" s="29">
        <f>H103*7.5345</f>
        <v>48002.2995</v>
      </c>
      <c r="P103" s="29">
        <v>0</v>
      </c>
      <c r="Q103" s="29">
        <v>0</v>
      </c>
      <c r="R103" s="29"/>
      <c r="S103" s="29">
        <f>O103+P103+Q103+R103</f>
        <v>48002.2995</v>
      </c>
    </row>
    <row r="104" spans="2:19" s="15" customFormat="1" ht="12.75">
      <c r="B104" s="92" t="s">
        <v>64</v>
      </c>
      <c r="C104" s="93" t="s">
        <v>151</v>
      </c>
      <c r="D104" s="33" t="s">
        <v>65</v>
      </c>
      <c r="E104" s="124" t="s">
        <v>66</v>
      </c>
      <c r="F104" s="124"/>
      <c r="G104" s="124"/>
      <c r="H104" s="94">
        <v>2920</v>
      </c>
      <c r="I104" s="94">
        <v>0</v>
      </c>
      <c r="J104" s="94">
        <v>0</v>
      </c>
      <c r="K104" s="94"/>
      <c r="L104" s="94">
        <f>H104+I104+J104+K104</f>
        <v>2920</v>
      </c>
      <c r="M104" s="14"/>
      <c r="O104" s="29">
        <f t="shared" si="13"/>
        <v>22000.74</v>
      </c>
      <c r="P104" s="29">
        <v>0</v>
      </c>
      <c r="Q104" s="29">
        <v>0</v>
      </c>
      <c r="R104" s="29"/>
      <c r="S104" s="29">
        <f>O104+P104+Q104+R104</f>
        <v>22000.74</v>
      </c>
    </row>
    <row r="105" spans="2:19" s="15" customFormat="1" ht="12.75">
      <c r="B105" s="92" t="s">
        <v>67</v>
      </c>
      <c r="C105" s="93" t="s">
        <v>68</v>
      </c>
      <c r="D105" s="33" t="s">
        <v>55</v>
      </c>
      <c r="E105" s="124" t="s">
        <v>69</v>
      </c>
      <c r="F105" s="124"/>
      <c r="G105" s="124"/>
      <c r="H105" s="94">
        <f>260000.53/7.5345</f>
        <v>34508.00053089123</v>
      </c>
      <c r="I105" s="94">
        <v>0</v>
      </c>
      <c r="J105" s="94">
        <v>0</v>
      </c>
      <c r="K105" s="94"/>
      <c r="L105" s="94">
        <f>H105+I105+J105+K105</f>
        <v>34508.00053089123</v>
      </c>
      <c r="M105" s="14"/>
      <c r="O105" s="29">
        <f t="shared" si="13"/>
        <v>260000.52999999997</v>
      </c>
      <c r="P105" s="29">
        <v>0</v>
      </c>
      <c r="Q105" s="29">
        <v>0</v>
      </c>
      <c r="R105" s="29"/>
      <c r="S105" s="29">
        <f>O105+P105+Q105+R105</f>
        <v>260000.52999999997</v>
      </c>
    </row>
    <row r="106" spans="2:19" s="15" customFormat="1" ht="12.75">
      <c r="B106" s="23"/>
      <c r="C106" s="28"/>
      <c r="D106" s="24"/>
      <c r="E106" s="117" t="s">
        <v>14</v>
      </c>
      <c r="F106" s="117"/>
      <c r="G106" s="117"/>
      <c r="H106" s="79">
        <f>H90+H93+H101+H102+H103+H104+H105</f>
        <v>89589.00053089124</v>
      </c>
      <c r="I106" s="79" t="e">
        <f>#REF!+#REF!</f>
        <v>#REF!</v>
      </c>
      <c r="J106" s="79" t="e">
        <f>J90+#REF!+#REF!+#REF!+J101</f>
        <v>#REF!</v>
      </c>
      <c r="K106" s="79" t="e">
        <f>K90+#REF!+K101+K102+K104+#REF!+K105+#REF!</f>
        <v>#REF!</v>
      </c>
      <c r="L106" s="79">
        <f>L90+L93+L101+L102+L103+L104+L105</f>
        <v>89589.00053089124</v>
      </c>
      <c r="M106" s="14"/>
      <c r="O106" s="71">
        <f>H106*7.5345</f>
        <v>675008.3245000001</v>
      </c>
      <c r="P106" s="30" t="e">
        <f>#REF!+#REF!</f>
        <v>#REF!</v>
      </c>
      <c r="Q106" s="30" t="e">
        <f>Q90+#REF!+#REF!+#REF!+Q101</f>
        <v>#REF!</v>
      </c>
      <c r="R106" s="30" t="e">
        <f>R90+#REF!+R101+R102+R104+#REF!+R105+#REF!</f>
        <v>#REF!</v>
      </c>
      <c r="S106" s="30">
        <f>S90+S93+S101+S102+S103+S104+S105</f>
        <v>675008.3245</v>
      </c>
    </row>
    <row r="107" spans="2:19" s="63" customFormat="1" ht="12.75">
      <c r="B107" s="34"/>
      <c r="C107" s="35"/>
      <c r="D107" s="36"/>
      <c r="E107" s="42"/>
      <c r="F107" s="42"/>
      <c r="G107" s="42"/>
      <c r="H107" s="83"/>
      <c r="I107" s="83"/>
      <c r="J107" s="83"/>
      <c r="K107" s="83"/>
      <c r="L107" s="83"/>
      <c r="M107" s="53"/>
      <c r="O107" s="43"/>
      <c r="P107" s="43"/>
      <c r="Q107" s="43"/>
      <c r="R107" s="43"/>
      <c r="S107" s="43"/>
    </row>
    <row r="108" spans="2:19" s="15" customFormat="1" ht="20.25" customHeight="1">
      <c r="B108" s="23"/>
      <c r="C108" s="119" t="s">
        <v>70</v>
      </c>
      <c r="D108" s="120"/>
      <c r="E108" s="120"/>
      <c r="F108" s="120"/>
      <c r="G108" s="120"/>
      <c r="H108" s="79">
        <f>H15+H27+H34+H41+H54+H62+H73+H87+H106</f>
        <v>819545.0191784458</v>
      </c>
      <c r="I108" s="79" t="e">
        <f>I15+I27+I34+I41+I54+I62+I73+I87+I106</f>
        <v>#REF!</v>
      </c>
      <c r="J108" s="84" t="e">
        <f>J15+J27+J34+J41+J54+J62+J73+J87+J106</f>
        <v>#REF!</v>
      </c>
      <c r="K108" s="85" t="e">
        <f>K15+K27+K34+K41+K54+K62+K73+K87+K106</f>
        <v>#REF!</v>
      </c>
      <c r="L108" s="79">
        <f>L15+L27+L34+L41+L54+L62+L73+L87+L106</f>
        <v>819545.0191784458</v>
      </c>
      <c r="M108" s="14"/>
      <c r="O108" s="30">
        <f>O15+O27+O34+O41+O54+O62+O73+O87+O106</f>
        <v>6174861.947000002</v>
      </c>
      <c r="P108" s="30" t="e">
        <f>P15+P27+P34+P41+P54+P62+P73+P87+P106</f>
        <v>#REF!</v>
      </c>
      <c r="Q108" s="50" t="e">
        <f>Q15+Q27+Q34+Q41+Q54+Q62+Q73+Q87+Q106</f>
        <v>#REF!</v>
      </c>
      <c r="R108" s="51" t="e">
        <f>R15+R27+R34+R41+R54+R62+R73+R87+R106</f>
        <v>#REF!</v>
      </c>
      <c r="S108" s="30">
        <f>L108*7.5345</f>
        <v>6174861.947000001</v>
      </c>
    </row>
    <row r="109" spans="2:19" s="15" customFormat="1" ht="12.75">
      <c r="B109" s="22"/>
      <c r="C109" s="27"/>
      <c r="D109" s="6"/>
      <c r="E109" s="3"/>
      <c r="F109" s="5"/>
      <c r="G109" s="4"/>
      <c r="H109" s="86"/>
      <c r="I109" s="86"/>
      <c r="J109" s="86"/>
      <c r="K109" s="86"/>
      <c r="L109" s="86"/>
      <c r="M109" s="14"/>
      <c r="O109" s="13"/>
      <c r="P109" s="13"/>
      <c r="Q109" s="13"/>
      <c r="R109" s="13"/>
      <c r="S109" s="13"/>
    </row>
    <row r="110" spans="2:19" s="15" customFormat="1" ht="12.75">
      <c r="B110" s="22"/>
      <c r="C110" s="27"/>
      <c r="D110" s="3"/>
      <c r="E110" s="121" t="s">
        <v>107</v>
      </c>
      <c r="F110" s="122"/>
      <c r="G110" s="149" t="s">
        <v>100</v>
      </c>
      <c r="H110" s="149"/>
      <c r="I110" s="86"/>
      <c r="J110" s="86"/>
      <c r="K110" s="86"/>
      <c r="L110" s="86"/>
      <c r="M110" s="14"/>
      <c r="O110" s="5"/>
      <c r="P110" s="13"/>
      <c r="Q110" s="13"/>
      <c r="R110" s="13"/>
      <c r="S110" s="13"/>
    </row>
    <row r="111" spans="2:19" s="15" customFormat="1" ht="12.75">
      <c r="B111" s="22"/>
      <c r="C111" s="27"/>
      <c r="D111" s="6"/>
      <c r="E111" s="17" t="s">
        <v>9</v>
      </c>
      <c r="F111" s="18" t="s">
        <v>79</v>
      </c>
      <c r="G111" s="143">
        <f>H11+H12+H13+H14+H19+H20+H26+H25+H30+H37+H54+H62+H73+H76+H77+H84+H85+H93</f>
        <v>751855.018382109</v>
      </c>
      <c r="H111" s="143"/>
      <c r="I111" s="86"/>
      <c r="J111" s="86"/>
      <c r="K111" s="86"/>
      <c r="L111" s="86"/>
      <c r="M111" s="14"/>
      <c r="O111" s="5"/>
      <c r="P111" s="13"/>
      <c r="Q111" s="13"/>
      <c r="R111" s="13"/>
      <c r="S111" s="13"/>
    </row>
    <row r="112" spans="2:19" s="15" customFormat="1" ht="12.75">
      <c r="B112" s="22"/>
      <c r="C112" s="27"/>
      <c r="D112" s="6"/>
      <c r="E112" s="17" t="s">
        <v>80</v>
      </c>
      <c r="F112" s="18" t="s">
        <v>81</v>
      </c>
      <c r="G112" s="143">
        <v>0</v>
      </c>
      <c r="H112" s="143"/>
      <c r="I112" s="86"/>
      <c r="J112" s="86"/>
      <c r="K112" s="86"/>
      <c r="L112" s="86"/>
      <c r="M112" s="14"/>
      <c r="O112" s="5"/>
      <c r="P112" s="13"/>
      <c r="Q112" s="13"/>
      <c r="R112" s="13"/>
      <c r="S112" s="13"/>
    </row>
    <row r="113" spans="2:19" s="15" customFormat="1" ht="12.75">
      <c r="B113" s="22"/>
      <c r="C113" s="27"/>
      <c r="D113" s="6"/>
      <c r="E113" s="17" t="s">
        <v>65</v>
      </c>
      <c r="F113" s="18" t="s">
        <v>82</v>
      </c>
      <c r="G113" s="148">
        <f>H103+H104</f>
        <v>9291</v>
      </c>
      <c r="H113" s="148"/>
      <c r="I113" s="86"/>
      <c r="J113" s="86"/>
      <c r="K113" s="86"/>
      <c r="L113" s="86"/>
      <c r="M113" s="14"/>
      <c r="O113" s="5"/>
      <c r="P113" s="13"/>
      <c r="Q113" s="13"/>
      <c r="R113" s="13"/>
      <c r="S113" s="13"/>
    </row>
    <row r="114" spans="2:19" s="15" customFormat="1" ht="12.75">
      <c r="B114" s="22"/>
      <c r="C114" s="27"/>
      <c r="D114" s="6"/>
      <c r="E114" s="17" t="s">
        <v>55</v>
      </c>
      <c r="F114" s="18" t="s">
        <v>83</v>
      </c>
      <c r="G114" s="143">
        <f>H90+H101+H102+H105</f>
        <v>56408.00053089123</v>
      </c>
      <c r="H114" s="143"/>
      <c r="I114" s="86"/>
      <c r="J114" s="86"/>
      <c r="K114" s="86"/>
      <c r="L114" s="86"/>
      <c r="M114" s="14"/>
      <c r="O114" s="5"/>
      <c r="P114" s="13"/>
      <c r="Q114" s="13"/>
      <c r="R114" s="13"/>
      <c r="S114" s="13"/>
    </row>
    <row r="115" spans="2:19" s="15" customFormat="1" ht="12.75">
      <c r="B115" s="22"/>
      <c r="C115" s="27"/>
      <c r="D115" s="6"/>
      <c r="E115" s="17" t="s">
        <v>84</v>
      </c>
      <c r="F115" s="19" t="s">
        <v>85</v>
      </c>
      <c r="G115" s="143">
        <f>H86</f>
        <v>1991</v>
      </c>
      <c r="H115" s="143"/>
      <c r="I115" s="86"/>
      <c r="J115" s="86"/>
      <c r="K115" s="86"/>
      <c r="L115" s="86"/>
      <c r="M115" s="14"/>
      <c r="O115" s="5"/>
      <c r="P115" s="13"/>
      <c r="Q115" s="13"/>
      <c r="R115" s="13"/>
      <c r="S115" s="13"/>
    </row>
    <row r="116" spans="2:19" ht="12.75">
      <c r="B116" s="22"/>
      <c r="C116" s="27"/>
      <c r="D116" s="6"/>
      <c r="E116" s="17" t="s">
        <v>86</v>
      </c>
      <c r="F116" s="19" t="s">
        <v>98</v>
      </c>
      <c r="G116" s="143">
        <f>0</f>
        <v>0</v>
      </c>
      <c r="H116" s="143"/>
      <c r="I116" s="86"/>
      <c r="J116" s="86"/>
      <c r="K116" s="86"/>
      <c r="L116" s="86"/>
      <c r="O116" s="37"/>
      <c r="P116" s="13"/>
      <c r="Q116" s="13"/>
      <c r="R116" s="13"/>
      <c r="S116" s="13"/>
    </row>
    <row r="117" spans="2:19" ht="12.75">
      <c r="B117" s="22"/>
      <c r="C117" s="27"/>
      <c r="D117" s="6"/>
      <c r="E117" s="17" t="s">
        <v>92</v>
      </c>
      <c r="F117" s="19" t="s">
        <v>93</v>
      </c>
      <c r="G117" s="143">
        <f>0</f>
        <v>0</v>
      </c>
      <c r="H117" s="143"/>
      <c r="I117" s="86"/>
      <c r="J117" s="86"/>
      <c r="K117" s="86"/>
      <c r="L117" s="86"/>
      <c r="O117" s="37"/>
      <c r="P117" s="13"/>
      <c r="Q117" s="13"/>
      <c r="R117" s="13"/>
      <c r="S117" s="13"/>
    </row>
    <row r="119" spans="2:19" ht="12.75">
      <c r="B119" s="141" t="s">
        <v>72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O119" s="37"/>
      <c r="P119" s="38"/>
      <c r="Q119" s="38"/>
      <c r="R119" s="38"/>
      <c r="S119" s="38"/>
    </row>
    <row r="121" spans="2:19" ht="30" customHeight="1">
      <c r="B121" s="126" t="s">
        <v>97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O121" s="37"/>
      <c r="P121" s="38"/>
      <c r="Q121" s="38"/>
      <c r="R121" s="38"/>
      <c r="S121" s="38"/>
    </row>
    <row r="122" spans="2:5" ht="13.5" customHeight="1">
      <c r="B122" s="123" t="s">
        <v>160</v>
      </c>
      <c r="C122" s="123"/>
      <c r="D122" s="123"/>
      <c r="E122" s="123"/>
    </row>
    <row r="123" spans="2:5" ht="13.5" customHeight="1">
      <c r="B123" s="127" t="s">
        <v>161</v>
      </c>
      <c r="C123" s="127"/>
      <c r="D123" s="127"/>
      <c r="E123" s="127"/>
    </row>
    <row r="124" spans="2:5" ht="13.5" customHeight="1">
      <c r="B124" s="127" t="s">
        <v>162</v>
      </c>
      <c r="C124" s="127"/>
      <c r="D124" s="127"/>
      <c r="E124" s="127"/>
    </row>
    <row r="125" spans="2:19" ht="12.75">
      <c r="B125" s="112" t="s">
        <v>71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O125" s="37"/>
      <c r="P125" s="38"/>
      <c r="Q125" s="38"/>
      <c r="R125" s="38"/>
      <c r="S125" s="38"/>
    </row>
    <row r="127" spans="6:19" ht="12.75">
      <c r="F127" s="7" t="s">
        <v>105</v>
      </c>
      <c r="G127" s="7"/>
      <c r="H127" s="118" t="s">
        <v>106</v>
      </c>
      <c r="I127" s="118"/>
      <c r="J127" s="118"/>
      <c r="K127" s="118"/>
      <c r="L127" s="118"/>
      <c r="O127" s="112"/>
      <c r="P127" s="112"/>
      <c r="Q127" s="112"/>
      <c r="R127" s="112"/>
      <c r="S127" s="112"/>
    </row>
    <row r="128" ht="7.5" customHeight="1"/>
    <row r="129" spans="6:19" ht="12.75">
      <c r="F129" s="7"/>
      <c r="G129" s="7"/>
      <c r="H129" s="118" t="s">
        <v>104</v>
      </c>
      <c r="I129" s="118"/>
      <c r="J129" s="118"/>
      <c r="K129" s="118"/>
      <c r="L129" s="118"/>
      <c r="O129" s="112"/>
      <c r="P129" s="112"/>
      <c r="Q129" s="112"/>
      <c r="R129" s="112"/>
      <c r="S129" s="112"/>
    </row>
  </sheetData>
  <sheetProtection selectLockedCells="1" selectUnlockedCells="1"/>
  <mergeCells count="122">
    <mergeCell ref="B2:L2"/>
    <mergeCell ref="B3:L3"/>
    <mergeCell ref="B6:L6"/>
    <mergeCell ref="E72:G72"/>
    <mergeCell ref="E85:G85"/>
    <mergeCell ref="F69:G69"/>
    <mergeCell ref="E44:G44"/>
    <mergeCell ref="E34:G34"/>
    <mergeCell ref="E37:G37"/>
    <mergeCell ref="F49:G49"/>
    <mergeCell ref="F32:G32"/>
    <mergeCell ref="F31:G31"/>
    <mergeCell ref="F39:G39"/>
    <mergeCell ref="F38:G38"/>
    <mergeCell ref="F40:G40"/>
    <mergeCell ref="F46:G46"/>
    <mergeCell ref="E43:G43"/>
    <mergeCell ref="F33:G33"/>
    <mergeCell ref="D35:H35"/>
    <mergeCell ref="F45:G45"/>
    <mergeCell ref="E57:G57"/>
    <mergeCell ref="F91:G91"/>
    <mergeCell ref="F92:G92"/>
    <mergeCell ref="F94:G94"/>
    <mergeCell ref="E89:G89"/>
    <mergeCell ref="E65:G65"/>
    <mergeCell ref="E77:G77"/>
    <mergeCell ref="F79:G79"/>
    <mergeCell ref="F70:G70"/>
    <mergeCell ref="F66:G66"/>
    <mergeCell ref="F59:G59"/>
    <mergeCell ref="F58:G58"/>
    <mergeCell ref="F95:G95"/>
    <mergeCell ref="E75:G75"/>
    <mergeCell ref="E87:G87"/>
    <mergeCell ref="E62:G62"/>
    <mergeCell ref="F81:G81"/>
    <mergeCell ref="E102:G102"/>
    <mergeCell ref="E103:G103"/>
    <mergeCell ref="F60:G60"/>
    <mergeCell ref="F61:G61"/>
    <mergeCell ref="F98:G98"/>
    <mergeCell ref="E71:G71"/>
    <mergeCell ref="G116:H116"/>
    <mergeCell ref="G113:H113"/>
    <mergeCell ref="F52:G52"/>
    <mergeCell ref="F67:G67"/>
    <mergeCell ref="E104:G104"/>
    <mergeCell ref="E86:G86"/>
    <mergeCell ref="F83:G83"/>
    <mergeCell ref="G110:H110"/>
    <mergeCell ref="F100:G100"/>
    <mergeCell ref="E101:G101"/>
    <mergeCell ref="B119:L119"/>
    <mergeCell ref="F50:G50"/>
    <mergeCell ref="B124:E124"/>
    <mergeCell ref="G114:H114"/>
    <mergeCell ref="G115:H115"/>
    <mergeCell ref="E105:G105"/>
    <mergeCell ref="F97:G97"/>
    <mergeCell ref="E56:G56"/>
    <mergeCell ref="E106:G106"/>
    <mergeCell ref="G117:H117"/>
    <mergeCell ref="B5:L5"/>
    <mergeCell ref="E84:G84"/>
    <mergeCell ref="E64:G64"/>
    <mergeCell ref="F80:G80"/>
    <mergeCell ref="F68:G68"/>
    <mergeCell ref="D28:H28"/>
    <mergeCell ref="E29:G29"/>
    <mergeCell ref="D55:H55"/>
    <mergeCell ref="F47:G47"/>
    <mergeCell ref="F48:G48"/>
    <mergeCell ref="D42:H42"/>
    <mergeCell ref="E53:G53"/>
    <mergeCell ref="E36:G36"/>
    <mergeCell ref="E51:G51"/>
    <mergeCell ref="E25:G25"/>
    <mergeCell ref="E26:G26"/>
    <mergeCell ref="C18:H18"/>
    <mergeCell ref="E14:G14"/>
    <mergeCell ref="F24:G24"/>
    <mergeCell ref="E9:G9"/>
    <mergeCell ref="C10:H10"/>
    <mergeCell ref="E11:G11"/>
    <mergeCell ref="D8:H8"/>
    <mergeCell ref="E30:G30"/>
    <mergeCell ref="E12:G12"/>
    <mergeCell ref="E17:G17"/>
    <mergeCell ref="E15:G15"/>
    <mergeCell ref="D16:H16"/>
    <mergeCell ref="E27:G27"/>
    <mergeCell ref="E13:G13"/>
    <mergeCell ref="F21:G21"/>
    <mergeCell ref="E19:G19"/>
    <mergeCell ref="F22:G22"/>
    <mergeCell ref="F23:G23"/>
    <mergeCell ref="E93:G93"/>
    <mergeCell ref="E54:G54"/>
    <mergeCell ref="F78:G78"/>
    <mergeCell ref="E20:G20"/>
    <mergeCell ref="E41:G41"/>
    <mergeCell ref="B122:E122"/>
    <mergeCell ref="H127:L127"/>
    <mergeCell ref="E90:G90"/>
    <mergeCell ref="F82:G82"/>
    <mergeCell ref="D74:H74"/>
    <mergeCell ref="E76:G76"/>
    <mergeCell ref="B121:L121"/>
    <mergeCell ref="B123:E123"/>
    <mergeCell ref="G111:H111"/>
    <mergeCell ref="G112:H112"/>
    <mergeCell ref="O127:S127"/>
    <mergeCell ref="O129:S129"/>
    <mergeCell ref="D63:L63"/>
    <mergeCell ref="F96:G96"/>
    <mergeCell ref="D88:L88"/>
    <mergeCell ref="E73:G73"/>
    <mergeCell ref="H129:L129"/>
    <mergeCell ref="C108:G108"/>
    <mergeCell ref="B125:L125"/>
    <mergeCell ref="E110:F110"/>
  </mergeCells>
  <printOptions/>
  <pageMargins left="0.4330708661417323" right="0.4330708661417323" top="0.35433070866141736" bottom="0.35433070866141736" header="0.11811023622047245" footer="0.11811023622047245"/>
  <pageSetup firstPageNumber="1" useFirstPageNumber="1" fitToHeight="0" fitToWidth="1" horizontalDpi="600" verticalDpi="600" orientation="portrait" paperSize="9" scale="80" r:id="rId1"/>
  <ignoredErrors>
    <ignoredError sqref="J20 H62 H41" formulaRange="1"/>
    <ignoredError sqref="L84 O84" formula="1"/>
    <ignoredError sqref="G115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Ornela Rumen</dc:creator>
  <cp:keywords/>
  <dc:description/>
  <cp:lastModifiedBy>Mikela Zimerman</cp:lastModifiedBy>
  <cp:lastPrinted>2022-12-12T15:34:35Z</cp:lastPrinted>
  <dcterms:created xsi:type="dcterms:W3CDTF">2016-11-15T05:46:44Z</dcterms:created>
  <dcterms:modified xsi:type="dcterms:W3CDTF">2022-12-22T12:13:51Z</dcterms:modified>
  <cp:category/>
  <cp:version/>
  <cp:contentType/>
  <cp:contentStatus/>
</cp:coreProperties>
</file>